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1"/>
  </bookViews>
  <sheets>
    <sheet name="2011-2014 надбавка к тарифу" sheetId="1" r:id="rId1"/>
    <sheet name="2011-2014 тариф на подключение" sheetId="2" r:id="rId2"/>
    <sheet name="пояснительная записка" sheetId="3" r:id="rId3"/>
  </sheets>
  <definedNames>
    <definedName name="_xlnm.Print_Titles" localSheetId="0">'2011-2014 надбавка к тарифу'!$5:$7</definedName>
    <definedName name="_xlnm.Print_Titles" localSheetId="1">'2011-2014 тариф на подключение'!$1:$3</definedName>
    <definedName name="_xlnm.Print_Area" localSheetId="0">'2011-2014 надбавка к тарифу'!$A$1:$V$172</definedName>
    <definedName name="_xlnm.Print_Area" localSheetId="1">'2011-2014 тариф на подключение'!$A$1:$O$479</definedName>
    <definedName name="_xlnm.Print_Area" localSheetId="2">'пояснительная записка'!#REF!</definedName>
  </definedNames>
  <calcPr fullCalcOnLoad="1" refMode="R1C1"/>
</workbook>
</file>

<file path=xl/sharedStrings.xml><?xml version="1.0" encoding="utf-8"?>
<sst xmlns="http://schemas.openxmlformats.org/spreadsheetml/2006/main" count="895" uniqueCount="271">
  <si>
    <t>Обеспечение надёжности и увеличение пропускной способности  на 25%.   Ленинградский район.</t>
  </si>
  <si>
    <t>Обеспечение надежности и увеличение пропускной способности на 20%.   Городская застройка.</t>
  </si>
  <si>
    <t xml:space="preserve">Обеспечение транспортировки городских стоков.   Ленинградский район. </t>
  </si>
  <si>
    <t xml:space="preserve">Обеспечение транспортировки городских стоков.   Городская застройка. </t>
  </si>
  <si>
    <t xml:space="preserve">Обеспечение транспортировки городских стоков. Ленинградский район.  </t>
  </si>
  <si>
    <t>Очистка городских стоков</t>
  </si>
  <si>
    <t xml:space="preserve">Обеспечение транспортировки городских стоков.    Городская застройка.  </t>
  </si>
  <si>
    <t>Обеспечение транспортировки стоков пос. им. А. Космодемьянского.</t>
  </si>
  <si>
    <t>Обеспечение транспортировки стоков пос. Чкаловска.</t>
  </si>
  <si>
    <t>Обеспечение транспортировки стоков пос. Борисово</t>
  </si>
  <si>
    <t xml:space="preserve">Обеспечение транспортировки городских стоков. Ленинградский район. </t>
  </si>
  <si>
    <t>Наименование инвестиционного проекта</t>
  </si>
  <si>
    <t>тыс. руб.</t>
  </si>
  <si>
    <t>Завершение строительства и модернизация Восточной водопроводной станции (ВВС) с увеличением производительности до 90 тыс.м'/сутки</t>
  </si>
  <si>
    <t>ИТОГО ВОДОСНАБЖЕНИЕ</t>
  </si>
  <si>
    <t>ИТОГО ВОДООТВЕДЕНИЕ</t>
  </si>
  <si>
    <t>№    п.п.</t>
  </si>
  <si>
    <t>есть</t>
  </si>
  <si>
    <t>нет</t>
  </si>
  <si>
    <t>Реализация мероприятий по годам, тыс.руб.</t>
  </si>
  <si>
    <t>ВСЕГО ВОДОСНАБЖЕНИЕ И ВОДООТВЕДЕНИЕ</t>
  </si>
  <si>
    <t>Модернизация участка канализационного коллектора по ул.Тельмана</t>
  </si>
  <si>
    <t>*</t>
  </si>
  <si>
    <t>Реконструкция главного канализационного коллектора (7.8 км)</t>
  </si>
  <si>
    <t>Примечание</t>
  </si>
  <si>
    <t>Строительство очистных сооружений г. Калининграда</t>
  </si>
  <si>
    <t>Строительство узла переключения главного канализационного коллектора в коллектор промстоков в районе детской областной больницы.</t>
  </si>
  <si>
    <t xml:space="preserve"> тариф на подключение</t>
  </si>
  <si>
    <t>Собственные средства МУПКХ "Водоканал", из них</t>
  </si>
  <si>
    <t>Привлеченные средства</t>
  </si>
  <si>
    <t>Бюджетные средства, из них</t>
  </si>
  <si>
    <t>Федеральный бюджет</t>
  </si>
  <si>
    <t>Областной бюджет</t>
  </si>
  <si>
    <t xml:space="preserve"> Городской бюджет</t>
  </si>
  <si>
    <t>Ед изм.</t>
  </si>
  <si>
    <t>Цели реализации мероприятия</t>
  </si>
  <si>
    <t>Объемные показатели</t>
  </si>
  <si>
    <t>Средства внебюджетных фондов</t>
  </si>
  <si>
    <t>Прочие средства</t>
  </si>
  <si>
    <t>Заемные средства кредитных организаций</t>
  </si>
  <si>
    <t>Финансовые потребности, всего, тыс. руб.</t>
  </si>
  <si>
    <t xml:space="preserve">Федеральный бюджет </t>
  </si>
  <si>
    <t>Заемные средства кредитных организаций,Гранты ДЕПА</t>
  </si>
  <si>
    <t>тыс. м3/сут</t>
  </si>
  <si>
    <t>Наличие ПСД</t>
  </si>
  <si>
    <t>Подключение сетей канализации к разгрузочному коллектору № 1. /ШС-9,7,6,1/</t>
  </si>
  <si>
    <t>РП строительства 2-ой очереди очистных сооружений г. Калининграда.</t>
  </si>
  <si>
    <t>Обеспечение производства ресурса. Городская застройка.</t>
  </si>
  <si>
    <t>Обеспечение передачи ресурса.   Центральный и Октябрьский районы.</t>
  </si>
  <si>
    <t>Обеспечение надежности передачи ресурса.  Городская застройка.</t>
  </si>
  <si>
    <t>Обеспечение транспортировки и очистки городских стоков.   Городская застройка.</t>
  </si>
  <si>
    <t>Обеспечение транспортировки городских стоков.  Городская застройка.</t>
  </si>
  <si>
    <t>Заемные средства кредитных организаций, гранты</t>
  </si>
  <si>
    <t>Заемные средства кредитных организаций (ЕБРР,СИБ)</t>
  </si>
  <si>
    <t xml:space="preserve">тариф на подключение по водоснабжению рассчитывается исходя из потребности в денежных средствах в сумме </t>
  </si>
  <si>
    <t xml:space="preserve">Средства внебюджетных фондов </t>
  </si>
  <si>
    <t>ППСИ</t>
  </si>
  <si>
    <t>СИДА</t>
  </si>
  <si>
    <t>км</t>
  </si>
  <si>
    <t>Реконструкция КНС-1</t>
  </si>
  <si>
    <t>Реконструкция КНС-7.</t>
  </si>
  <si>
    <t>Инвестиционный проект по повышению качества товаров и услуг, улучшению экологической ситуации.</t>
  </si>
  <si>
    <t>Водоснабжение.</t>
  </si>
  <si>
    <t>1.1.1</t>
  </si>
  <si>
    <t>1.1.2</t>
  </si>
  <si>
    <t>Водоотведение и очистка сточных вод.</t>
  </si>
  <si>
    <t>1.2.1</t>
  </si>
  <si>
    <t>1.2.2</t>
  </si>
  <si>
    <t>1.2.3</t>
  </si>
  <si>
    <t>Инвестиционный проект на подключение строящихся (реконструируемых) объектов.</t>
  </si>
  <si>
    <t>2.1.1</t>
  </si>
  <si>
    <t>2.1.3</t>
  </si>
  <si>
    <t>Водоотведение.</t>
  </si>
  <si>
    <t>2.2.1</t>
  </si>
  <si>
    <t>2.2.5</t>
  </si>
  <si>
    <t>2.2.6</t>
  </si>
  <si>
    <t>2.2.7</t>
  </si>
  <si>
    <t>2.2.9</t>
  </si>
  <si>
    <t xml:space="preserve">тариф на подключение по водоотведению рассчитывается исходя из потребности в денежных средствах в сумме </t>
  </si>
  <si>
    <t>Строительство коллектора Д=800 мм по ул. Парковая аллея-Островского-ШС №13 разгрузочного коллектора № 1.</t>
  </si>
  <si>
    <t>Корректировка РП строительства коллектора Д=800мм ул. Парковая аллея-Островского-ШС №13 разгрузочного коллектора № 1.</t>
  </si>
  <si>
    <t>РП и реконструкция водовода Д900мм от Восточной водопроводной станции до Московской насосной станции № 2 на Д1200мм.</t>
  </si>
  <si>
    <t>Переход Верхнего пруда дюкером трассы водопровода Д600мм</t>
  </si>
  <si>
    <t>2.1.4</t>
  </si>
  <si>
    <t>РП и реконструкция участка водовода сырой воды от насосной станции II-го подъема ЮВС-2 до дюкера.</t>
  </si>
  <si>
    <t>РП и  реконструкция системы водоотведения пос. Борисово.</t>
  </si>
  <si>
    <t>1.2.4</t>
  </si>
  <si>
    <t>2.1.2</t>
  </si>
  <si>
    <t>2.2.2</t>
  </si>
  <si>
    <t>2.2.3</t>
  </si>
  <si>
    <t>2.2.4</t>
  </si>
  <si>
    <t>2.2.8</t>
  </si>
  <si>
    <t>1.1.3</t>
  </si>
  <si>
    <t>1.1.4</t>
  </si>
  <si>
    <t>РП и реконструкция емкостных сооружений и насосных станций ВКУ Ленинградского района.</t>
  </si>
  <si>
    <t>РП и  реконструкция очистных сооружений пос. Борисово.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</si>
  <si>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</si>
  <si>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</si>
  <si>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</si>
  <si>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</si>
  <si>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</si>
  <si>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</si>
  <si>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</si>
  <si>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</si>
  <si>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</si>
  <si>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Модернизация Московской насосной станции №1 /МНС-1/. Московской насосной станции №2 /МНС-2/.</t>
  </si>
  <si>
    <t>Возмещение расходов по оплате работ и возврату кредитов по программе 2007-2010г.г.</t>
  </si>
  <si>
    <t>(надбавка к тарифу)</t>
  </si>
  <si>
    <t xml:space="preserve">Затраты МУП КХ "Водоканал" на обслуживание кредита ЕБРР. Объект переходящий на 2011г.                                         </t>
  </si>
  <si>
    <t>2.1.5</t>
  </si>
  <si>
    <t>РП и реконструкция  участка водовода по переулку Беланова.</t>
  </si>
  <si>
    <t>РП и строительство сетей водоснабжения по ул. Лукашева - Калинина с Д100мм на Д200мм.</t>
  </si>
  <si>
    <t>Реконструкция сборных водоводов Д100мм от артскважин до ВНС в пос. Чкаловск.</t>
  </si>
  <si>
    <t>РП строительства напорного коллектора от КНС-1</t>
  </si>
  <si>
    <t>РП и строительство 2-го напорного коллектора и дюкера от КНС-2 до главного канализационного коллектора.</t>
  </si>
  <si>
    <t xml:space="preserve">РП и реконструкция КНС-2 с увеличением производительности до 40 тыс.м3/сут. </t>
  </si>
  <si>
    <t>Реконструкция акведука главного канализационного коллектора от ул.Красносельской до проспекта Победы.</t>
  </si>
  <si>
    <t>надбавка к тарифу</t>
  </si>
  <si>
    <t>Прочие средства (СИБ)</t>
  </si>
  <si>
    <t xml:space="preserve">РП реконструкции КНС-1 </t>
  </si>
  <si>
    <t>РП и реконструкция отводного канала ОС-1 и Приморской бухты.</t>
  </si>
  <si>
    <t>Обеспечение транспортировки стоков Ленинградского района</t>
  </si>
  <si>
    <t xml:space="preserve">Обеспечение транспортировки городских стоков.  Московский районы. </t>
  </si>
  <si>
    <t xml:space="preserve">Обеспечение транспортировки городских стоков. Московский районы. </t>
  </si>
  <si>
    <t xml:space="preserve">Обеспечение транспортировки городских стоков.   пос. Лермонтово. </t>
  </si>
  <si>
    <t>Модернизация  водотока «Школьный»</t>
  </si>
  <si>
    <t>Собственные средства МУП КХ «Водоканал», из них</t>
  </si>
  <si>
    <t>Собственные средства МУПКХ «Водоканал», из них</t>
  </si>
  <si>
    <t>(собственные средства МУП КХ «Водоканал» без учета бюджетного финансирования, грантов и с учётом налога на прибыль)</t>
  </si>
  <si>
    <t>в т.ч. Собственные средства МУПКХ «Водоканал»</t>
  </si>
  <si>
    <t>2.1.6</t>
  </si>
  <si>
    <t>2.1.7</t>
  </si>
  <si>
    <t xml:space="preserve">Прочие средства </t>
  </si>
  <si>
    <t>Приложение № 2</t>
  </si>
  <si>
    <t>2.1.8</t>
  </si>
  <si>
    <t>Обеспечение надежности передачи ресурса. Центральный район.</t>
  </si>
  <si>
    <t>Строительство ВНС "Сусанинская"</t>
  </si>
  <si>
    <t>Развитие скважинного водозабора до 90 тыс. м3/сут.</t>
  </si>
  <si>
    <t>Модернизация КНС по ул. Докука в п. Чкаловск.</t>
  </si>
  <si>
    <t>РП "Строительство разгрузочного коллектора по                 ул. Гагарина"</t>
  </si>
  <si>
    <t>Крюгер А/С</t>
  </si>
  <si>
    <t>Проценты и маржа Банка</t>
  </si>
  <si>
    <t>Маржа Инфина</t>
  </si>
  <si>
    <t xml:space="preserve">Комиссия по обязательствам Банка </t>
  </si>
  <si>
    <t>И.П. Смирнов В.Н.</t>
  </si>
  <si>
    <t>Реконструкция коллектора Д-450мм на Д630мм по ул. Стекольной от ул. Литовский вал.</t>
  </si>
  <si>
    <t>Реконструкция участка канализационного коллектора от ул. Алданской до КНС-4 в пос. им. А. Космодемьянском.</t>
  </si>
  <si>
    <t>2011 год</t>
  </si>
  <si>
    <t xml:space="preserve">План   </t>
  </si>
  <si>
    <t>Выполнение,           тыс. руб.</t>
  </si>
  <si>
    <t>Финансовые потребности всего,      тыс. руб.</t>
  </si>
  <si>
    <t>Отчет о выполнении  технических мероприятий инвестиционной программы по объектам</t>
  </si>
  <si>
    <t>Маржа Минфина РФ</t>
  </si>
  <si>
    <t>Комиссия по обязательствам Банка</t>
  </si>
  <si>
    <t>проценты по кредиту Минфина</t>
  </si>
  <si>
    <t>ООО "Стройспецназ"</t>
  </si>
  <si>
    <t>ООО "СК Монолит"</t>
  </si>
  <si>
    <t>ТЭЦ-8</t>
  </si>
  <si>
    <t>проценты по кредиту</t>
  </si>
  <si>
    <t>Фонд "Северное измерение"</t>
  </si>
  <si>
    <t>ВЕТЛАН-строй ООО (НДС и ЕБРР)</t>
  </si>
  <si>
    <t>Агенство "ФОРТ" ООО</t>
  </si>
  <si>
    <t xml:space="preserve">Ростехинвентаризация </t>
  </si>
  <si>
    <t>ИП Роменко А.В.</t>
  </si>
  <si>
    <t>Я.Н.С. - Консалт</t>
  </si>
  <si>
    <t>ОАО "Мостостроительный трест №6"</t>
  </si>
  <si>
    <t>ЗАО "Ленводоканалпроект"</t>
  </si>
  <si>
    <t>Западная энергетическая компания</t>
  </si>
  <si>
    <t>SWECO intrnational</t>
  </si>
  <si>
    <t>Инженерная строительная компания  ООО</t>
  </si>
  <si>
    <t>НИМБ-ПРОЕКТ  ООО</t>
  </si>
  <si>
    <t>Центр проектных экспертиз</t>
  </si>
  <si>
    <t>Регион проект ООО</t>
  </si>
  <si>
    <t>Проценты по кредитному соглашению</t>
  </si>
  <si>
    <t>Пояснительная записка.</t>
  </si>
  <si>
    <t>1. О выполнении мероприятий инвестиционной программы.</t>
  </si>
  <si>
    <t>п.2.1.1. Модернизация Московской насосной станции №1 /МНС-1/, Московская насосная станция №2 /МНС-2/.</t>
  </si>
  <si>
    <t>п.2.1.2. Завершение строительства и модернизации Восточной водопроводной станции (ВВС)  с увеличением производительности до 90 тыс. м3/сут.</t>
  </si>
  <si>
    <t>п.2.2.1. Строиетльство очистных сооружений, г. Калининград.</t>
  </si>
  <si>
    <t>2. О поступлении и использовании денежных средств по реализации Инвестиционной программы МУП КХ "Водоканал" 2011 - 2013г.г.</t>
  </si>
  <si>
    <t xml:space="preserve">В отчете по реализации Инвестиционной программы МУП КХ "Водоканал" 2011 - 2013г.г. по итоговым данным </t>
  </si>
  <si>
    <t>3. О заключенных договорах "на подключение объектов капитального строительства к системам коммунальной инфраструктуры.</t>
  </si>
  <si>
    <t>п.2.2.9. РП и модернизация КНС по ул. Докука в п. Чкаловск</t>
  </si>
  <si>
    <t>п.2.2.12. РП "Строительство разгрузочного коллектора по ул. Гагарина"</t>
  </si>
  <si>
    <t>Смирнов И.Н.</t>
  </si>
  <si>
    <t>Использование  денежных средств,    тыс. руб.</t>
  </si>
  <si>
    <t>Крюгер А/С - перенос в п.2.1.3</t>
  </si>
  <si>
    <t>ИП Смирнов В.Н. - перенос в п.2.1.3</t>
  </si>
  <si>
    <t>Директор МУП КХ "Водоканал"</t>
  </si>
  <si>
    <t>Иващенко А.Н.</t>
  </si>
  <si>
    <t>Заместитель директора по ОРП</t>
  </si>
  <si>
    <t>Говоровская В.Н.</t>
  </si>
  <si>
    <t>Левченко С.В.</t>
  </si>
  <si>
    <t>Начальник ОРПР</t>
  </si>
  <si>
    <t>Матусевич Н.П.</t>
  </si>
  <si>
    <t>Исполнители:</t>
  </si>
  <si>
    <t>Инженер 1 кат. ОРПР</t>
  </si>
  <si>
    <t>Мичурова Е.В.</t>
  </si>
  <si>
    <t>Заместитель главного бухгалтера</t>
  </si>
  <si>
    <t>Гладышева И.А.</t>
  </si>
  <si>
    <t>2.2.19</t>
  </si>
  <si>
    <t>Заместитель директора по экономике, финансам и контролю</t>
  </si>
  <si>
    <t>Поступление денежных средств,    тыс. руб.</t>
  </si>
  <si>
    <t>инженерной инфраструктуры МУП КХ «Водоканал» на расчётный срок до 2013г., после пересмотра (внесения изменений) утвержденной 08.02.2012г.</t>
  </si>
  <si>
    <t>2012 год</t>
  </si>
  <si>
    <t>Всего за 2011-2012 годы</t>
  </si>
  <si>
    <t>кредитные обязательства</t>
  </si>
  <si>
    <t>Кредитные обязательства</t>
  </si>
  <si>
    <t>ЗАО "ГазпроммежрегионгазСанкт-Петербург"</t>
  </si>
  <si>
    <t>Янтарьэнерго ОАО</t>
  </si>
  <si>
    <t>РП "Строительство коллектора бытовой канализации по улицам 3-я Большая окружная - Герцена - Парковая аллея -островского в г. Калининграде"</t>
  </si>
  <si>
    <t>СВЕКО Ленводоканалпроект</t>
  </si>
  <si>
    <t xml:space="preserve">План,                         тыс. руб.   </t>
  </si>
  <si>
    <t>Согласование проектной документации ЗАО "Газпром межрегионгаз С.П." - 4,4 тыс. руб.</t>
  </si>
  <si>
    <t>Балтийская Судоремонтная компания</t>
  </si>
  <si>
    <t>СВЕКО интернационал</t>
  </si>
  <si>
    <t>В разделе итого использовано (гр. 6) денежных средств на реализацию мероприятий инвестиционных проектов,</t>
  </si>
  <si>
    <t xml:space="preserve">НП "Фонд "Северное измерение" - оказал услуги по техническому надзору за строительством на сумму- </t>
  </si>
  <si>
    <t>ВЕТЛАН-строй ООО  в части НДС и удержания</t>
  </si>
  <si>
    <t>ВЕТЛАН-строй ООО  в части  удержания</t>
  </si>
  <si>
    <t>ГАУ КО "Центр проектных экспертиз" - эксп. РП</t>
  </si>
  <si>
    <t>ООО "Европроект и К"</t>
  </si>
  <si>
    <t>п.2.2.18. Реконструкция главного канализационного коллектора (7,8 км).</t>
  </si>
  <si>
    <t xml:space="preserve">Проведена государственная экспертиза проектной документации по реконструкции участка главного </t>
  </si>
  <si>
    <t>ООО "НИМБ-ПРОЕКТ" выполнил проектные работы по объекту "Разгрузочный коллектор по улице Гагарина в городе Калининграде" на сумму - 365,0 тыс. руб.</t>
  </si>
  <si>
    <t>п.2.2.5. Реконструкция коллектора Д450мм на Д630мм по ул. Стекольной от ул. Литовский вал</t>
  </si>
  <si>
    <t>ООО "Европроект" разработал проектную документацию на сумму- 770,- тыс. руб.</t>
  </si>
  <si>
    <t>ГАУ КО "Центр проектных экспертиз" выполнил экспертизу проекта на сумму - 296,7 тыс. руб.</t>
  </si>
  <si>
    <t>ЗАО "ПИ "Ленинградский Водоканалпроект" осуществил авторский надзор за объектом строительства - 1 166,93 тыс. руб.</t>
  </si>
  <si>
    <t xml:space="preserve"> </t>
  </si>
  <si>
    <t xml:space="preserve"> - в том числе прочие средства (СИБ) в сумме 16 721,4 тыс. руб.</t>
  </si>
  <si>
    <t>ООО "Балтийская судоремонтная компания" выполнила работы по демонтажу генератора - 220,1 тыс. руб.</t>
  </si>
  <si>
    <t>РП прошел государственную экспертизу в ГАУ КО "Центр проектных экспертиз" - 73,08 тыс. руб.</t>
  </si>
  <si>
    <t>канализационного коллектора в районе ул. Коломенской на сумму - 244,4 тыс. руб.</t>
  </si>
  <si>
    <t>за  2012 года.</t>
  </si>
  <si>
    <t>ОАО "Калининградгазификация" - подключение газа</t>
  </si>
  <si>
    <t>ООО "СОЭКС-Балтия"</t>
  </si>
  <si>
    <t>ИП Нестерук А.В.</t>
  </si>
  <si>
    <t>ООО "НИМБ-ПРОЕКТ"</t>
  </si>
  <si>
    <t>ООО "ГЕОИД"</t>
  </si>
  <si>
    <t>закр+распред</t>
  </si>
  <si>
    <t>Генеральный подрядчик ООО "СК Монолит" - выполнил работы на сумму 35 409,81 тыс. руб.</t>
  </si>
  <si>
    <t>выполнены работы по техническому надзору за строительством объекта - ООО "Стройспецназ" - 325.16 тыс. руб.</t>
  </si>
  <si>
    <t>Погашены кредитные обязательства  в размере - 3 239.91тыс. руб.</t>
  </si>
  <si>
    <t>Объект подключен к электросетям МУП "ТЭЦ-8" - 6 298,4 тыс. руб.</t>
  </si>
  <si>
    <t>Выплачены проценты Банка и Маржа Мифина  - 5 014.9 тыс. руб.</t>
  </si>
  <si>
    <t>4 258,3 тыс. руб.</t>
  </si>
  <si>
    <t>Продолжается строительство очистных сооружений г. Калининграда, где генеральным подрядчиком выступает ОАО "Мостостройтрест №6" - 161 673.571 тыс. руб. за счет бюджетных средств.</t>
  </si>
  <si>
    <t>Объект подключен к электросетям ООО "Западная энергетическая компания" - 22 050,0 тыс. руб.</t>
  </si>
  <si>
    <t>ООО "Стройспецназ" осуществил технический надзор за объектом - 1 596,3 тыс. руб.</t>
  </si>
  <si>
    <t>НП Фонд "Северное измерение - консультационные услуги на сумму - 894,9 тыс. руб.</t>
  </si>
  <si>
    <t>Я.Н.С. Консалт - консультационные услуги по оформлению удостоверений технической помощи - 465,5 тыс. руб.</t>
  </si>
  <si>
    <t>Sweko International  - оказал услуги на 4 571,2 тыс. руб.</t>
  </si>
  <si>
    <t>ООО "СОЭКС-Балтия" - оказаны услуги - 4,1 тыс. руб.</t>
  </si>
  <si>
    <t>п.2.2.7.  Реконструкция участка канализационного коллектора от ул. Алданской до КНС-4 в пос. А. Космодемьянского</t>
  </si>
  <si>
    <t>ООО "НИМБ-ПРОЕКТ" выполнил проектные работы на сумму - 152,6 тыс. руб.</t>
  </si>
  <si>
    <t>ГАУ КО "Центр проектных экспертиз" провел экспертизу ПД - 139,1 тыс. руб.</t>
  </si>
  <si>
    <t>ООО "Инженерная строительная компания" выполнила работы на сумму - 2 159,0 тыс. руб.</t>
  </si>
  <si>
    <t>ООО "ГЕОИД" - инженерные изыскания - 60,6 тыс. руб.</t>
  </si>
  <si>
    <t>ООО "НИМБ-ПРОЕКТ" выполнил проектные работы на сумму - 1 017,5 тыс. руб.</t>
  </si>
  <si>
    <t>ИП Нестерук А.В. - оказаны услуги по переводу с английского и на английский язык - 42,1 тыс. руб.</t>
  </si>
  <si>
    <t xml:space="preserve"> - в том числе получено бюджетных средств в сумме 163 973,9 тыс. руб.,</t>
  </si>
  <si>
    <t xml:space="preserve"> - в том числе собственные средства МУП КХ «Водоканал» в сумме 94 332,2 тыс. руб.</t>
  </si>
  <si>
    <t xml:space="preserve">было оплачено подрядчикам за выполнение работ по договорам за 2012 год в сумме 300 732,4 тыс. руб. </t>
  </si>
  <si>
    <t xml:space="preserve"> - в том числе использовано бюджетных средств на сумму 163 973,9 тыс.руб.</t>
  </si>
  <si>
    <t xml:space="preserve"> - в том числе собственные средства МУП КХ «Водоканал» в сумме 120 037,1 тыс. руб.</t>
  </si>
  <si>
    <t>За 12 месяцев  2012г. заключено 230 договоров.</t>
  </si>
  <si>
    <t xml:space="preserve"> - в том числе прочие средства (СИБ) в сумме 395 655,2 тыс. руб.</t>
  </si>
  <si>
    <t xml:space="preserve">в разделе поступило денежных средств (гр. 5) за 2012 год в сумме 653 961,3 тыс.руб.:  </t>
  </si>
  <si>
    <t>Подключение к газовым сетям  ОАО "Калининградгазификация" - 31,835 тыс. руб.</t>
  </si>
  <si>
    <t>Генеральный подрядчик ООО "Ветлан-Строй" - выполнил работы на сумму - 43 489.3 тыс. руб..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</si>
</sst>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0"/>
      <color indexed="8"/>
      <name val="Times New Roman"/>
      <family val="1"/>
    </font>
    <font>
      <sz val="10"/>
      <color indexed="10"/>
      <name val="Arial Cyr"/>
      <family val="0"/>
    </font>
    <font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1"/>
      <color indexed="14"/>
      <name val="Times New Roman"/>
      <family val="1"/>
    </font>
    <font>
      <sz val="10"/>
      <color indexed="14"/>
      <name val="Arial Cyr"/>
      <family val="0"/>
    </font>
    <font>
      <b/>
      <i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46"/>
      <name val="Times New Roman"/>
      <family val="1"/>
    </font>
    <font>
      <sz val="10"/>
      <color indexed="46"/>
      <name val="Arial Cyr"/>
      <family val="0"/>
    </font>
    <font>
      <b/>
      <i/>
      <sz val="10"/>
      <name val="Arial Cyr"/>
      <family val="0"/>
    </font>
    <font>
      <b/>
      <i/>
      <sz val="14"/>
      <color indexed="8"/>
      <name val="Times New Roman"/>
      <family val="1"/>
    </font>
    <font>
      <i/>
      <sz val="14"/>
      <name val="Arial Cyr"/>
      <family val="0"/>
    </font>
    <font>
      <sz val="10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4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46"/>
      <name val="Times New Roman"/>
      <family val="1"/>
    </font>
    <font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i/>
      <sz val="10"/>
      <name val="Times New Roman"/>
      <family val="1"/>
    </font>
    <font>
      <i/>
      <sz val="10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quotePrefix="1">
      <alignment horizontal="left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 quotePrefix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6" fontId="3" fillId="0" borderId="10" xfId="0" applyNumberFormat="1" applyFont="1" applyFill="1" applyBorder="1" applyAlignment="1">
      <alignment horizontal="left" wrapText="1"/>
    </xf>
    <xf numFmtId="164" fontId="7" fillId="0" borderId="12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3" fillId="33" borderId="0" xfId="0" applyNumberFormat="1" applyFont="1" applyFill="1" applyBorder="1" applyAlignment="1" quotePrefix="1">
      <alignment horizontal="left"/>
    </xf>
    <xf numFmtId="164" fontId="3" fillId="33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15" fillId="33" borderId="10" xfId="0" applyFont="1" applyFill="1" applyBorder="1" applyAlignment="1" quotePrefix="1">
      <alignment horizontal="left" vertical="center" wrapText="1"/>
    </xf>
    <xf numFmtId="49" fontId="6" fillId="33" borderId="15" xfId="0" applyNumberFormat="1" applyFont="1" applyFill="1" applyBorder="1" applyAlignment="1" quotePrefix="1">
      <alignment horizontal="center" vertical="center" wrapText="1"/>
    </xf>
    <xf numFmtId="0" fontId="27" fillId="0" borderId="0" xfId="0" applyFont="1" applyAlignment="1">
      <alignment horizontal="right"/>
    </xf>
    <xf numFmtId="0" fontId="30" fillId="0" borderId="10" xfId="0" applyFont="1" applyFill="1" applyBorder="1" applyAlignment="1">
      <alignment horizontal="left" wrapText="1"/>
    </xf>
    <xf numFmtId="164" fontId="30" fillId="0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/>
    </xf>
    <xf numFmtId="4" fontId="79" fillId="0" borderId="12" xfId="0" applyNumberFormat="1" applyFont="1" applyBorder="1" applyAlignment="1">
      <alignment horizontal="center"/>
    </xf>
    <xf numFmtId="0" fontId="30" fillId="0" borderId="10" xfId="0" applyFont="1" applyFill="1" applyBorder="1" applyAlignment="1" quotePrefix="1">
      <alignment horizontal="left" wrapText="1"/>
    </xf>
    <xf numFmtId="4" fontId="30" fillId="0" borderId="10" xfId="0" applyNumberFormat="1" applyFont="1" applyFill="1" applyBorder="1" applyAlignment="1">
      <alignment horizont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Border="1" applyAlignment="1">
      <alignment horizontal="center" vertical="center" wrapText="1"/>
    </xf>
    <xf numFmtId="4" fontId="79" fillId="0" borderId="12" xfId="0" applyNumberFormat="1" applyFont="1" applyBorder="1" applyAlignment="1">
      <alignment horizontal="center" vertical="center" wrapText="1"/>
    </xf>
    <xf numFmtId="4" fontId="79" fillId="0" borderId="17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 vertical="center" wrapText="1"/>
    </xf>
    <xf numFmtId="164" fontId="79" fillId="0" borderId="10" xfId="0" applyNumberFormat="1" applyFont="1" applyFill="1" applyBorder="1" applyAlignment="1">
      <alignment horizontal="center" vertical="center" wrapText="1"/>
    </xf>
    <xf numFmtId="164" fontId="79" fillId="0" borderId="13" xfId="0" applyNumberFormat="1" applyFont="1" applyFill="1" applyBorder="1" applyAlignment="1">
      <alignment horizontal="center" vertical="center" wrapText="1"/>
    </xf>
    <xf numFmtId="164" fontId="80" fillId="0" borderId="10" xfId="0" applyNumberFormat="1" applyFont="1" applyBorder="1" applyAlignment="1">
      <alignment horizontal="center"/>
    </xf>
    <xf numFmtId="164" fontId="79" fillId="0" borderId="10" xfId="0" applyNumberFormat="1" applyFont="1" applyBorder="1" applyAlignment="1">
      <alignment horizontal="center"/>
    </xf>
    <xf numFmtId="0" fontId="79" fillId="0" borderId="10" xfId="0" applyFont="1" applyFill="1" applyBorder="1" applyAlignment="1">
      <alignment horizontal="left" wrapText="1"/>
    </xf>
    <xf numFmtId="164" fontId="81" fillId="0" borderId="12" xfId="0" applyNumberFormat="1" applyFont="1" applyFill="1" applyBorder="1" applyAlignment="1">
      <alignment horizontal="center" vertical="center" wrapText="1"/>
    </xf>
    <xf numFmtId="164" fontId="79" fillId="0" borderId="12" xfId="0" applyNumberFormat="1" applyFont="1" applyFill="1" applyBorder="1" applyAlignment="1">
      <alignment horizontal="center" vertical="center" wrapText="1"/>
    </xf>
    <xf numFmtId="164" fontId="82" fillId="0" borderId="12" xfId="0" applyNumberFormat="1" applyFont="1" applyFill="1" applyBorder="1" applyAlignment="1">
      <alignment horizontal="center" vertical="center" wrapText="1"/>
    </xf>
    <xf numFmtId="165" fontId="79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 quotePrefix="1">
      <alignment horizontal="left"/>
    </xf>
    <xf numFmtId="0" fontId="36" fillId="0" borderId="0" xfId="0" applyFont="1" applyAlignment="1">
      <alignment wrapText="1"/>
    </xf>
    <xf numFmtId="0" fontId="0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" fillId="0" borderId="0" xfId="0" applyFont="1" applyFill="1" applyBorder="1" applyAlignment="1" quotePrefix="1">
      <alignment horizontal="left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 quotePrefix="1">
      <alignment horizontal="center" vertical="center" textRotation="90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quotePrefix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" fontId="79" fillId="0" borderId="17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/>
    </xf>
    <xf numFmtId="4" fontId="30" fillId="0" borderId="17" xfId="0" applyNumberFormat="1" applyFont="1" applyFill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164" fontId="79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65" fontId="2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64" fontId="39" fillId="0" borderId="12" xfId="0" applyNumberFormat="1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right" vertical="top"/>
    </xf>
    <xf numFmtId="0" fontId="27" fillId="0" borderId="10" xfId="0" applyFont="1" applyFill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164" fontId="32" fillId="0" borderId="0" xfId="0" applyNumberFormat="1" applyFont="1" applyFill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center" textRotation="90" wrapText="1"/>
    </xf>
    <xf numFmtId="0" fontId="42" fillId="0" borderId="0" xfId="0" applyFont="1" applyBorder="1" applyAlignment="1">
      <alignment/>
    </xf>
    <xf numFmtId="164" fontId="6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4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79" fillId="33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79" fillId="0" borderId="12" xfId="0" applyNumberFormat="1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30" fillId="0" borderId="12" xfId="0" applyNumberFormat="1" applyFont="1" applyBorder="1" applyAlignment="1">
      <alignment horizontal="center"/>
    </xf>
    <xf numFmtId="4" fontId="79" fillId="0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79" fillId="0" borderId="12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 horizontal="center" vertical="center" wrapText="1"/>
    </xf>
    <xf numFmtId="4" fontId="83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164" fontId="27" fillId="0" borderId="12" xfId="0" applyNumberFormat="1" applyFont="1" applyBorder="1" applyAlignment="1">
      <alignment horizontal="center" vertical="center" wrapText="1"/>
    </xf>
    <xf numFmtId="164" fontId="8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83" fillId="0" borderId="17" xfId="0" applyNumberFormat="1" applyFont="1" applyFill="1" applyBorder="1" applyAlignment="1">
      <alignment horizontal="center" vertical="center" wrapText="1"/>
    </xf>
    <xf numFmtId="4" fontId="83" fillId="0" borderId="17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82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4" fontId="30" fillId="0" borderId="17" xfId="0" applyNumberFormat="1" applyFont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3" fillId="31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textRotation="90" wrapText="1"/>
    </xf>
    <xf numFmtId="0" fontId="5" fillId="33" borderId="15" xfId="0" applyFont="1" applyFill="1" applyBorder="1" applyAlignment="1" quotePrefix="1">
      <alignment horizontal="center" vertical="center" textRotation="90" wrapText="1"/>
    </xf>
    <xf numFmtId="0" fontId="5" fillId="33" borderId="12" xfId="0" applyFont="1" applyFill="1" applyBorder="1" applyAlignment="1" quotePrefix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17" fillId="33" borderId="11" xfId="0" applyNumberFormat="1" applyFont="1" applyFill="1" applyBorder="1" applyAlignment="1">
      <alignment horizontal="center" vertical="center" textRotation="90" wrapText="1"/>
    </xf>
    <xf numFmtId="0" fontId="17" fillId="33" borderId="15" xfId="0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164" fontId="21" fillId="33" borderId="11" xfId="0" applyNumberFormat="1" applyFont="1" applyFill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18" fillId="33" borderId="11" xfId="0" applyNumberFormat="1" applyFont="1" applyFill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164" fontId="20" fillId="0" borderId="11" xfId="0" applyNumberFormat="1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164" fontId="22" fillId="33" borderId="11" xfId="0" applyNumberFormat="1" applyFont="1" applyFill="1" applyBorder="1" applyAlignment="1">
      <alignment horizontal="center" vertical="center" textRotation="90" wrapText="1"/>
    </xf>
    <xf numFmtId="0" fontId="22" fillId="33" borderId="15" xfId="0" applyFont="1" applyFill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4" fontId="12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textRotation="90" wrapText="1"/>
    </xf>
    <xf numFmtId="164" fontId="20" fillId="33" borderId="11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164" fontId="3" fillId="0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4" fontId="42" fillId="0" borderId="11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2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textRotation="90" wrapText="1"/>
    </xf>
    <xf numFmtId="0" fontId="42" fillId="0" borderId="12" xfId="0" applyFont="1" applyFill="1" applyBorder="1" applyAlignment="1">
      <alignment horizontal="center" vertical="center" textRotation="90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horizontal="center" vertical="center" textRotation="90" wrapText="1"/>
    </xf>
    <xf numFmtId="0" fontId="6" fillId="33" borderId="11" xfId="0" applyFont="1" applyFill="1" applyBorder="1" applyAlignment="1" quotePrefix="1">
      <alignment horizontal="center" vertical="center" textRotation="90" wrapText="1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3" fillId="31" borderId="13" xfId="0" applyFont="1" applyFill="1" applyBorder="1" applyAlignment="1">
      <alignment horizontal="center" vertical="top" wrapText="1"/>
    </xf>
    <xf numFmtId="0" fontId="3" fillId="31" borderId="14" xfId="0" applyFont="1" applyFill="1" applyBorder="1" applyAlignment="1">
      <alignment horizontal="center" vertical="top" wrapText="1"/>
    </xf>
    <xf numFmtId="0" fontId="3" fillId="31" borderId="16" xfId="0" applyFont="1" applyFill="1" applyBorder="1" applyAlignment="1">
      <alignment horizontal="center" vertical="top" wrapText="1"/>
    </xf>
    <xf numFmtId="0" fontId="38" fillId="0" borderId="14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164" fontId="28" fillId="33" borderId="11" xfId="0" applyNumberFormat="1" applyFont="1" applyFill="1" applyBorder="1" applyAlignment="1" quotePrefix="1">
      <alignment horizontal="center" vertical="center" wrapText="1"/>
    </xf>
    <xf numFmtId="0" fontId="28" fillId="33" borderId="15" xfId="0" applyFont="1" applyFill="1" applyBorder="1" applyAlignment="1" quotePrefix="1">
      <alignment horizontal="center" vertical="center" wrapText="1"/>
    </xf>
    <xf numFmtId="0" fontId="28" fillId="33" borderId="12" xfId="0" applyFont="1" applyFill="1" applyBorder="1" applyAlignment="1" quotePrefix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71"/>
  <sheetViews>
    <sheetView zoomScaleSheetLayoutView="120" zoomScalePageLayoutView="0" workbookViewId="0" topLeftCell="A121">
      <selection activeCell="A173" sqref="A173"/>
    </sheetView>
  </sheetViews>
  <sheetFormatPr defaultColWidth="9.00390625" defaultRowHeight="12.75"/>
  <cols>
    <col min="1" max="1" width="6.625" style="0" customWidth="1"/>
    <col min="2" max="2" width="48.875" style="0" customWidth="1"/>
    <col min="3" max="3" width="5.25390625" style="0" hidden="1" customWidth="1"/>
    <col min="4" max="4" width="14.25390625" style="0" hidden="1" customWidth="1"/>
    <col min="5" max="5" width="6.375" style="50" hidden="1" customWidth="1"/>
    <col min="6" max="6" width="6.25390625" style="50" hidden="1" customWidth="1"/>
    <col min="7" max="7" width="12.375" style="24" customWidth="1"/>
    <col min="8" max="8" width="11.00390625" style="24" hidden="1" customWidth="1"/>
    <col min="9" max="9" width="12.375" style="24" hidden="1" customWidth="1"/>
    <col min="10" max="11" width="11.00390625" style="24" hidden="1" customWidth="1"/>
    <col min="12" max="15" width="11.00390625" style="24" customWidth="1"/>
    <col min="16" max="19" width="11.00390625" style="24" hidden="1" customWidth="1"/>
    <col min="20" max="20" width="11.75390625" style="24" hidden="1" customWidth="1"/>
    <col min="21" max="21" width="10.875" style="24" hidden="1" customWidth="1"/>
    <col min="22" max="22" width="14.125" style="0" hidden="1" customWidth="1"/>
    <col min="23" max="23" width="11.875" style="0" customWidth="1"/>
    <col min="24" max="24" width="9.125" style="0" customWidth="1"/>
    <col min="25" max="25" width="2.875" style="0" customWidth="1"/>
  </cols>
  <sheetData>
    <row r="1" ht="10.5" customHeight="1"/>
    <row r="2" spans="1:21" ht="15.75">
      <c r="A2" s="329" t="s">
        <v>151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ht="31.5" customHeight="1">
      <c r="A3" s="330" t="s">
        <v>203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</row>
    <row r="4" spans="1:22" ht="13.5" customHeight="1">
      <c r="A4" s="329" t="s">
        <v>234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74" t="s">
        <v>133</v>
      </c>
    </row>
    <row r="5" spans="1:22" ht="13.5" customHeight="1">
      <c r="A5" s="265" t="s">
        <v>229</v>
      </c>
      <c r="B5" s="265" t="s">
        <v>11</v>
      </c>
      <c r="C5" s="265" t="s">
        <v>34</v>
      </c>
      <c r="D5" s="265" t="s">
        <v>35</v>
      </c>
      <c r="E5" s="265" t="s">
        <v>36</v>
      </c>
      <c r="F5" s="265" t="s">
        <v>44</v>
      </c>
      <c r="G5" s="245" t="s">
        <v>150</v>
      </c>
      <c r="H5" s="247" t="s">
        <v>147</v>
      </c>
      <c r="I5" s="248"/>
      <c r="J5" s="248"/>
      <c r="K5" s="249"/>
      <c r="L5" s="247" t="s">
        <v>204</v>
      </c>
      <c r="M5" s="248"/>
      <c r="N5" s="248"/>
      <c r="O5" s="249"/>
      <c r="P5" s="247" t="s">
        <v>205</v>
      </c>
      <c r="Q5" s="248"/>
      <c r="R5" s="248"/>
      <c r="S5" s="249"/>
      <c r="T5" s="77"/>
      <c r="U5" s="77"/>
      <c r="V5" s="265" t="s">
        <v>24</v>
      </c>
    </row>
    <row r="6" spans="1:22" ht="66" customHeight="1">
      <c r="A6" s="272"/>
      <c r="B6" s="272"/>
      <c r="C6" s="272"/>
      <c r="D6" s="272"/>
      <c r="E6" s="257"/>
      <c r="F6" s="257"/>
      <c r="G6" s="246"/>
      <c r="H6" s="79" t="s">
        <v>148</v>
      </c>
      <c r="I6" s="79" t="s">
        <v>149</v>
      </c>
      <c r="J6" s="79" t="s">
        <v>202</v>
      </c>
      <c r="K6" s="79" t="s">
        <v>185</v>
      </c>
      <c r="L6" s="79" t="s">
        <v>148</v>
      </c>
      <c r="M6" s="79" t="s">
        <v>149</v>
      </c>
      <c r="N6" s="79" t="s">
        <v>202</v>
      </c>
      <c r="O6" s="79" t="s">
        <v>185</v>
      </c>
      <c r="P6" s="79" t="s">
        <v>148</v>
      </c>
      <c r="Q6" s="79" t="s">
        <v>149</v>
      </c>
      <c r="R6" s="79" t="s">
        <v>202</v>
      </c>
      <c r="S6" s="79" t="s">
        <v>185</v>
      </c>
      <c r="T6" s="10">
        <v>2012</v>
      </c>
      <c r="U6" s="10">
        <v>2013</v>
      </c>
      <c r="V6" s="272"/>
    </row>
    <row r="7" spans="1:22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/>
      <c r="M7" s="11"/>
      <c r="N7" s="11"/>
      <c r="O7" s="11"/>
      <c r="P7" s="11"/>
      <c r="Q7" s="11"/>
      <c r="R7" s="11"/>
      <c r="S7" s="11"/>
      <c r="T7" s="11">
        <v>9</v>
      </c>
      <c r="U7" s="11">
        <v>10</v>
      </c>
      <c r="V7" s="11">
        <v>11</v>
      </c>
    </row>
    <row r="8" spans="1:22" ht="37.5" customHeight="1">
      <c r="A8" s="38">
        <v>1</v>
      </c>
      <c r="B8" s="252" t="s">
        <v>61</v>
      </c>
      <c r="C8" s="253"/>
      <c r="D8" s="253"/>
      <c r="E8" s="253"/>
      <c r="F8" s="253"/>
      <c r="G8" s="253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</row>
    <row r="9" spans="1:22" ht="14.25">
      <c r="A9" s="81">
        <v>1.1</v>
      </c>
      <c r="B9" s="80" t="s">
        <v>62</v>
      </c>
      <c r="C9" s="11"/>
      <c r="D9" s="11"/>
      <c r="E9" s="42"/>
      <c r="F9" s="4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39"/>
    </row>
    <row r="10" spans="1:22" ht="15" customHeight="1">
      <c r="A10" s="324" t="s">
        <v>63</v>
      </c>
      <c r="B10" s="13" t="s">
        <v>125</v>
      </c>
      <c r="C10" s="266" t="s">
        <v>43</v>
      </c>
      <c r="D10" s="260" t="s">
        <v>48</v>
      </c>
      <c r="E10" s="258">
        <v>30</v>
      </c>
      <c r="F10" s="258" t="s">
        <v>17</v>
      </c>
      <c r="G10" s="25">
        <f>G11+G13+G15+G19+G20</f>
        <v>29500.4</v>
      </c>
      <c r="H10" s="25">
        <f>H11+H13+H15+H19+H20</f>
        <v>0</v>
      </c>
      <c r="I10" s="26"/>
      <c r="J10" s="26"/>
      <c r="K10" s="26"/>
      <c r="L10" s="25">
        <f>L11+L13+L15+L19+L20</f>
        <v>14750.2</v>
      </c>
      <c r="M10" s="26"/>
      <c r="N10" s="26"/>
      <c r="O10" s="26"/>
      <c r="P10" s="26"/>
      <c r="Q10" s="26"/>
      <c r="R10" s="26"/>
      <c r="S10" s="26"/>
      <c r="T10" s="26"/>
      <c r="U10" s="26"/>
      <c r="V10" s="262"/>
    </row>
    <row r="11" spans="1:23" ht="15" customHeight="1">
      <c r="A11" s="275"/>
      <c r="B11" s="22" t="s">
        <v>126</v>
      </c>
      <c r="C11" s="267"/>
      <c r="D11" s="261"/>
      <c r="E11" s="259"/>
      <c r="F11" s="259"/>
      <c r="G11" s="256">
        <f>SUM(H11:U11)</f>
        <v>29500.4</v>
      </c>
      <c r="H11" s="256"/>
      <c r="I11" s="27"/>
      <c r="J11" s="27"/>
      <c r="K11" s="27"/>
      <c r="L11" s="256">
        <f>SUM(M11:Z11)</f>
        <v>14750.2</v>
      </c>
      <c r="M11" s="143"/>
      <c r="N11" s="143"/>
      <c r="O11" s="143"/>
      <c r="P11" s="143"/>
      <c r="Q11" s="143"/>
      <c r="R11" s="143"/>
      <c r="S11" s="143"/>
      <c r="T11" s="256">
        <v>14750.2</v>
      </c>
      <c r="U11" s="256"/>
      <c r="V11" s="263"/>
      <c r="W11" s="2"/>
    </row>
    <row r="12" spans="1:23" ht="15" customHeight="1">
      <c r="A12" s="275"/>
      <c r="B12" s="68" t="s">
        <v>107</v>
      </c>
      <c r="C12" s="267"/>
      <c r="D12" s="261"/>
      <c r="E12" s="259"/>
      <c r="F12" s="259"/>
      <c r="G12" s="257"/>
      <c r="H12" s="257"/>
      <c r="I12" s="37"/>
      <c r="J12" s="37"/>
      <c r="K12" s="37"/>
      <c r="L12" s="257"/>
      <c r="M12" s="142"/>
      <c r="N12" s="142"/>
      <c r="O12" s="142"/>
      <c r="P12" s="142"/>
      <c r="Q12" s="142"/>
      <c r="R12" s="142"/>
      <c r="S12" s="142"/>
      <c r="T12" s="257"/>
      <c r="U12" s="257"/>
      <c r="V12" s="263"/>
      <c r="W12" s="2"/>
    </row>
    <row r="13" spans="1:23" ht="15" customHeight="1">
      <c r="A13" s="275"/>
      <c r="B13" s="23" t="s">
        <v>29</v>
      </c>
      <c r="C13" s="267"/>
      <c r="D13" s="261"/>
      <c r="E13" s="259"/>
      <c r="F13" s="259"/>
      <c r="G13" s="20">
        <v>0</v>
      </c>
      <c r="H13" s="37"/>
      <c r="I13" s="37"/>
      <c r="J13" s="37"/>
      <c r="K13" s="37"/>
      <c r="L13" s="152">
        <v>0</v>
      </c>
      <c r="M13" s="142"/>
      <c r="N13" s="142"/>
      <c r="O13" s="142"/>
      <c r="P13" s="142"/>
      <c r="Q13" s="142"/>
      <c r="R13" s="142"/>
      <c r="S13" s="142"/>
      <c r="T13" s="37"/>
      <c r="U13" s="37"/>
      <c r="V13" s="263"/>
      <c r="W13" s="2"/>
    </row>
    <row r="14" spans="1:23" ht="15" customHeight="1">
      <c r="A14" s="275"/>
      <c r="B14" s="41" t="s">
        <v>39</v>
      </c>
      <c r="C14" s="267"/>
      <c r="D14" s="261"/>
      <c r="E14" s="259"/>
      <c r="F14" s="259"/>
      <c r="G14" s="48">
        <v>0</v>
      </c>
      <c r="H14" s="37"/>
      <c r="I14" s="37"/>
      <c r="J14" s="37"/>
      <c r="K14" s="37"/>
      <c r="L14" s="153">
        <v>0</v>
      </c>
      <c r="M14" s="142"/>
      <c r="N14" s="142"/>
      <c r="O14" s="142"/>
      <c r="P14" s="142"/>
      <c r="Q14" s="142"/>
      <c r="R14" s="142"/>
      <c r="S14" s="142"/>
      <c r="T14" s="37"/>
      <c r="U14" s="37"/>
      <c r="V14" s="263"/>
      <c r="W14" s="2"/>
    </row>
    <row r="15" spans="1:23" ht="15" customHeight="1">
      <c r="A15" s="275"/>
      <c r="B15" s="23" t="s">
        <v>30</v>
      </c>
      <c r="C15" s="267"/>
      <c r="D15" s="261"/>
      <c r="E15" s="259"/>
      <c r="F15" s="259"/>
      <c r="G15" s="20">
        <v>0</v>
      </c>
      <c r="H15" s="37"/>
      <c r="I15" s="37"/>
      <c r="J15" s="37"/>
      <c r="K15" s="37"/>
      <c r="L15" s="152">
        <v>0</v>
      </c>
      <c r="M15" s="142"/>
      <c r="N15" s="142"/>
      <c r="O15" s="142"/>
      <c r="P15" s="142"/>
      <c r="Q15" s="142"/>
      <c r="R15" s="142"/>
      <c r="S15" s="142"/>
      <c r="T15" s="37"/>
      <c r="U15" s="37"/>
      <c r="V15" s="263"/>
      <c r="W15" s="2"/>
    </row>
    <row r="16" spans="1:22" ht="12.75">
      <c r="A16" s="275"/>
      <c r="B16" s="41" t="s">
        <v>31</v>
      </c>
      <c r="C16" s="267"/>
      <c r="D16" s="261"/>
      <c r="E16" s="259"/>
      <c r="F16" s="259"/>
      <c r="G16" s="48">
        <v>0</v>
      </c>
      <c r="H16" s="20"/>
      <c r="I16" s="20"/>
      <c r="J16" s="20"/>
      <c r="K16" s="20"/>
      <c r="L16" s="153">
        <v>0</v>
      </c>
      <c r="M16" s="152"/>
      <c r="N16" s="152"/>
      <c r="O16" s="152"/>
      <c r="P16" s="152"/>
      <c r="Q16" s="152"/>
      <c r="R16" s="152"/>
      <c r="S16" s="152"/>
      <c r="T16" s="20"/>
      <c r="U16" s="20"/>
      <c r="V16" s="263"/>
    </row>
    <row r="17" spans="1:22" ht="12.75">
      <c r="A17" s="275"/>
      <c r="B17" s="41" t="s">
        <v>32</v>
      </c>
      <c r="C17" s="267"/>
      <c r="D17" s="261"/>
      <c r="E17" s="259"/>
      <c r="F17" s="259"/>
      <c r="G17" s="48">
        <v>0</v>
      </c>
      <c r="H17" s="20"/>
      <c r="I17" s="20"/>
      <c r="J17" s="20"/>
      <c r="K17" s="20"/>
      <c r="L17" s="153">
        <v>0</v>
      </c>
      <c r="M17" s="152"/>
      <c r="N17" s="152"/>
      <c r="O17" s="152"/>
      <c r="P17" s="152"/>
      <c r="Q17" s="152"/>
      <c r="R17" s="152"/>
      <c r="S17" s="152"/>
      <c r="T17" s="20"/>
      <c r="U17" s="20"/>
      <c r="V17" s="263"/>
    </row>
    <row r="18" spans="1:22" ht="12.75">
      <c r="A18" s="275"/>
      <c r="B18" s="41" t="s">
        <v>33</v>
      </c>
      <c r="C18" s="267"/>
      <c r="D18" s="261"/>
      <c r="E18" s="259"/>
      <c r="F18" s="259"/>
      <c r="G18" s="48">
        <v>0</v>
      </c>
      <c r="H18" s="48"/>
      <c r="I18" s="48"/>
      <c r="J18" s="48"/>
      <c r="K18" s="48"/>
      <c r="L18" s="153">
        <v>0</v>
      </c>
      <c r="M18" s="153"/>
      <c r="N18" s="153"/>
      <c r="O18" s="153"/>
      <c r="P18" s="153"/>
      <c r="Q18" s="153"/>
      <c r="R18" s="153"/>
      <c r="S18" s="153"/>
      <c r="T18" s="20"/>
      <c r="U18" s="20"/>
      <c r="V18" s="263"/>
    </row>
    <row r="19" spans="1:22" ht="12.75">
      <c r="A19" s="275"/>
      <c r="B19" s="23" t="s">
        <v>37</v>
      </c>
      <c r="C19" s="268"/>
      <c r="D19" s="259"/>
      <c r="E19" s="259"/>
      <c r="F19" s="259"/>
      <c r="G19" s="20">
        <v>0</v>
      </c>
      <c r="H19" s="20"/>
      <c r="I19" s="20"/>
      <c r="J19" s="20"/>
      <c r="K19" s="20"/>
      <c r="L19" s="152">
        <v>0</v>
      </c>
      <c r="M19" s="152"/>
      <c r="N19" s="152"/>
      <c r="O19" s="152"/>
      <c r="P19" s="152"/>
      <c r="Q19" s="152"/>
      <c r="R19" s="152"/>
      <c r="S19" s="152"/>
      <c r="T19" s="20"/>
      <c r="U19" s="20"/>
      <c r="V19" s="263"/>
    </row>
    <row r="20" spans="1:22" ht="12.75">
      <c r="A20" s="276"/>
      <c r="B20" s="23" t="s">
        <v>38</v>
      </c>
      <c r="C20" s="269"/>
      <c r="D20" s="246"/>
      <c r="E20" s="246"/>
      <c r="F20" s="246"/>
      <c r="G20" s="20">
        <v>0</v>
      </c>
      <c r="H20" s="20"/>
      <c r="I20" s="20"/>
      <c r="J20" s="20"/>
      <c r="K20" s="20"/>
      <c r="L20" s="152">
        <v>0</v>
      </c>
      <c r="M20" s="152"/>
      <c r="N20" s="152"/>
      <c r="O20" s="152"/>
      <c r="P20" s="152"/>
      <c r="Q20" s="152"/>
      <c r="R20" s="152"/>
      <c r="S20" s="152"/>
      <c r="T20" s="20"/>
      <c r="U20" s="20"/>
      <c r="V20" s="264"/>
    </row>
    <row r="21" spans="1:23" ht="36.75" customHeight="1" hidden="1">
      <c r="A21" s="324" t="s">
        <v>64</v>
      </c>
      <c r="B21" s="13"/>
      <c r="C21" s="270" t="s">
        <v>43</v>
      </c>
      <c r="D21" s="260" t="s">
        <v>47</v>
      </c>
      <c r="E21" s="265">
        <v>60</v>
      </c>
      <c r="F21" s="265" t="s">
        <v>17</v>
      </c>
      <c r="G21" s="25">
        <f>G22+G24+G26+G30+G31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62"/>
      <c r="W21" s="2"/>
    </row>
    <row r="22" spans="1:22" ht="15.75" customHeight="1" hidden="1">
      <c r="A22" s="275"/>
      <c r="B22" s="22" t="s">
        <v>126</v>
      </c>
      <c r="C22" s="267"/>
      <c r="D22" s="259"/>
      <c r="E22" s="271"/>
      <c r="F22" s="271"/>
      <c r="G22" s="256">
        <f>SUM(H22:U23)</f>
        <v>0</v>
      </c>
      <c r="H22" s="323"/>
      <c r="I22" s="78"/>
      <c r="J22" s="78"/>
      <c r="K22" s="78"/>
      <c r="L22" s="147"/>
      <c r="M22" s="147"/>
      <c r="N22" s="147"/>
      <c r="O22" s="147"/>
      <c r="P22" s="147"/>
      <c r="Q22" s="147"/>
      <c r="R22" s="147"/>
      <c r="S22" s="147"/>
      <c r="T22" s="256"/>
      <c r="U22" s="256"/>
      <c r="V22" s="263"/>
    </row>
    <row r="23" spans="1:22" ht="15.75" customHeight="1" hidden="1">
      <c r="A23" s="275"/>
      <c r="B23" s="68" t="s">
        <v>107</v>
      </c>
      <c r="C23" s="267"/>
      <c r="D23" s="259"/>
      <c r="E23" s="271"/>
      <c r="F23" s="271"/>
      <c r="G23" s="257"/>
      <c r="H23" s="257"/>
      <c r="I23" s="37"/>
      <c r="J23" s="37"/>
      <c r="K23" s="37"/>
      <c r="L23" s="142"/>
      <c r="M23" s="142"/>
      <c r="N23" s="142"/>
      <c r="O23" s="142"/>
      <c r="P23" s="142"/>
      <c r="Q23" s="142"/>
      <c r="R23" s="142"/>
      <c r="S23" s="142"/>
      <c r="T23" s="257"/>
      <c r="U23" s="257"/>
      <c r="V23" s="263"/>
    </row>
    <row r="24" spans="1:22" ht="15.75" customHeight="1" hidden="1">
      <c r="A24" s="275"/>
      <c r="B24" s="23" t="s">
        <v>29</v>
      </c>
      <c r="C24" s="267"/>
      <c r="D24" s="259"/>
      <c r="E24" s="271"/>
      <c r="F24" s="271"/>
      <c r="G24" s="20">
        <f>SUM(G25)</f>
        <v>0</v>
      </c>
      <c r="H24" s="37"/>
      <c r="I24" s="37"/>
      <c r="J24" s="37"/>
      <c r="K24" s="37"/>
      <c r="L24" s="142"/>
      <c r="M24" s="142"/>
      <c r="N24" s="142"/>
      <c r="O24" s="142"/>
      <c r="P24" s="142"/>
      <c r="Q24" s="142"/>
      <c r="R24" s="142"/>
      <c r="S24" s="142"/>
      <c r="T24" s="37"/>
      <c r="U24" s="37"/>
      <c r="V24" s="263"/>
    </row>
    <row r="25" spans="1:22" ht="12.75" customHeight="1" hidden="1">
      <c r="A25" s="275"/>
      <c r="B25" s="44" t="s">
        <v>39</v>
      </c>
      <c r="C25" s="267"/>
      <c r="D25" s="259"/>
      <c r="E25" s="271"/>
      <c r="F25" s="271"/>
      <c r="G25" s="48">
        <f>H25+T25+U25</f>
        <v>0</v>
      </c>
      <c r="H25" s="48"/>
      <c r="I25" s="48"/>
      <c r="J25" s="48"/>
      <c r="K25" s="48"/>
      <c r="L25" s="153"/>
      <c r="M25" s="153"/>
      <c r="N25" s="153"/>
      <c r="O25" s="153"/>
      <c r="P25" s="153"/>
      <c r="Q25" s="153"/>
      <c r="R25" s="153"/>
      <c r="S25" s="153"/>
      <c r="T25" s="48"/>
      <c r="U25" s="52"/>
      <c r="V25" s="263"/>
    </row>
    <row r="26" spans="1:22" ht="12.75" customHeight="1" hidden="1">
      <c r="A26" s="275"/>
      <c r="B26" s="23" t="s">
        <v>30</v>
      </c>
      <c r="C26" s="267"/>
      <c r="D26" s="259"/>
      <c r="E26" s="271"/>
      <c r="F26" s="271"/>
      <c r="G26" s="20">
        <f>SUM(G27:G29)</f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7"/>
      <c r="V26" s="263"/>
    </row>
    <row r="27" spans="1:22" ht="12.75" hidden="1">
      <c r="A27" s="275"/>
      <c r="B27" s="41" t="s">
        <v>31</v>
      </c>
      <c r="C27" s="267"/>
      <c r="D27" s="259"/>
      <c r="E27" s="271"/>
      <c r="F27" s="271"/>
      <c r="G27" s="48">
        <f>SUM(H27:U27)</f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7"/>
      <c r="V27" s="263"/>
    </row>
    <row r="28" spans="1:22" ht="12.75" hidden="1">
      <c r="A28" s="275"/>
      <c r="B28" s="41" t="s">
        <v>32</v>
      </c>
      <c r="C28" s="267"/>
      <c r="D28" s="259"/>
      <c r="E28" s="271"/>
      <c r="F28" s="271"/>
      <c r="G28" s="48">
        <f>SUM(H28:U28)</f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47"/>
      <c r="V28" s="263"/>
    </row>
    <row r="29" spans="1:22" ht="12.75" hidden="1">
      <c r="A29" s="275"/>
      <c r="B29" s="41" t="s">
        <v>33</v>
      </c>
      <c r="C29" s="267"/>
      <c r="D29" s="259"/>
      <c r="E29" s="271"/>
      <c r="F29" s="271"/>
      <c r="G29" s="48">
        <f>SUM(H29:U29)</f>
        <v>0</v>
      </c>
      <c r="H29" s="48"/>
      <c r="I29" s="48"/>
      <c r="J29" s="48"/>
      <c r="K29" s="48"/>
      <c r="L29" s="153"/>
      <c r="M29" s="153"/>
      <c r="N29" s="153"/>
      <c r="O29" s="153"/>
      <c r="P29" s="153"/>
      <c r="Q29" s="153"/>
      <c r="R29" s="153"/>
      <c r="S29" s="153"/>
      <c r="T29" s="48"/>
      <c r="U29" s="47"/>
      <c r="V29" s="263"/>
    </row>
    <row r="30" spans="1:22" ht="12.75" hidden="1">
      <c r="A30" s="275"/>
      <c r="B30" s="23" t="s">
        <v>37</v>
      </c>
      <c r="C30" s="268"/>
      <c r="D30" s="259"/>
      <c r="E30" s="259"/>
      <c r="F30" s="259"/>
      <c r="G30" s="20">
        <f>SUM(H30:U30)</f>
        <v>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25"/>
      <c r="V30" s="263"/>
    </row>
    <row r="31" spans="1:22" ht="12.75" hidden="1">
      <c r="A31" s="276"/>
      <c r="B31" s="22" t="s">
        <v>118</v>
      </c>
      <c r="C31" s="269"/>
      <c r="D31" s="246"/>
      <c r="E31" s="246"/>
      <c r="F31" s="246"/>
      <c r="G31" s="20">
        <f>SUM(H31:U31)</f>
        <v>0</v>
      </c>
      <c r="H31" s="48"/>
      <c r="I31" s="48"/>
      <c r="J31" s="48"/>
      <c r="K31" s="48"/>
      <c r="L31" s="153"/>
      <c r="M31" s="153"/>
      <c r="N31" s="153"/>
      <c r="O31" s="153"/>
      <c r="P31" s="153"/>
      <c r="Q31" s="153"/>
      <c r="R31" s="153"/>
      <c r="S31" s="153"/>
      <c r="T31" s="48"/>
      <c r="U31" s="25"/>
      <c r="V31" s="264"/>
    </row>
    <row r="32" spans="1:22" ht="25.5" customHeight="1">
      <c r="A32" s="274" t="s">
        <v>64</v>
      </c>
      <c r="B32" s="19" t="s">
        <v>82</v>
      </c>
      <c r="C32" s="270" t="s">
        <v>43</v>
      </c>
      <c r="D32" s="260" t="s">
        <v>47</v>
      </c>
      <c r="E32" s="245">
        <v>0.21</v>
      </c>
      <c r="F32" s="265" t="s">
        <v>17</v>
      </c>
      <c r="G32" s="25">
        <f>G33+G35+G37+G41+G42</f>
        <v>68009.6</v>
      </c>
      <c r="H32" s="25">
        <f>H33+H35+H37+H41+H42</f>
        <v>0</v>
      </c>
      <c r="I32" s="20"/>
      <c r="J32" s="20"/>
      <c r="K32" s="20"/>
      <c r="L32" s="25">
        <f>L33+L35+L37+L41+L42</f>
        <v>34004.8</v>
      </c>
      <c r="M32" s="152"/>
      <c r="N32" s="152"/>
      <c r="O32" s="152"/>
      <c r="P32" s="152"/>
      <c r="Q32" s="152"/>
      <c r="R32" s="152"/>
      <c r="S32" s="152"/>
      <c r="T32" s="20"/>
      <c r="U32" s="20"/>
      <c r="V32" s="328"/>
    </row>
    <row r="33" spans="1:22" ht="12.75">
      <c r="A33" s="275"/>
      <c r="B33" s="22" t="s">
        <v>127</v>
      </c>
      <c r="C33" s="267"/>
      <c r="D33" s="321"/>
      <c r="E33" s="277"/>
      <c r="F33" s="271"/>
      <c r="G33" s="256">
        <f>SUM(H33:U33)</f>
        <v>68009.6</v>
      </c>
      <c r="H33" s="256"/>
      <c r="I33" s="27"/>
      <c r="J33" s="27"/>
      <c r="K33" s="27"/>
      <c r="L33" s="256">
        <f>SUM(M33:Z33)</f>
        <v>34004.8</v>
      </c>
      <c r="M33" s="143"/>
      <c r="N33" s="143"/>
      <c r="O33" s="143"/>
      <c r="P33" s="143"/>
      <c r="Q33" s="143"/>
      <c r="R33" s="143"/>
      <c r="S33" s="143"/>
      <c r="T33" s="256">
        <v>34004.8</v>
      </c>
      <c r="U33" s="256"/>
      <c r="V33" s="308"/>
    </row>
    <row r="34" spans="1:22" ht="12.75">
      <c r="A34" s="275"/>
      <c r="B34" s="68" t="s">
        <v>107</v>
      </c>
      <c r="C34" s="267"/>
      <c r="D34" s="321"/>
      <c r="E34" s="277"/>
      <c r="F34" s="271"/>
      <c r="G34" s="273"/>
      <c r="H34" s="273"/>
      <c r="I34" s="28"/>
      <c r="J34" s="28"/>
      <c r="K34" s="28"/>
      <c r="L34" s="273"/>
      <c r="M34" s="144"/>
      <c r="N34" s="144"/>
      <c r="O34" s="144"/>
      <c r="P34" s="144"/>
      <c r="Q34" s="144"/>
      <c r="R34" s="144"/>
      <c r="S34" s="144"/>
      <c r="T34" s="273"/>
      <c r="U34" s="273"/>
      <c r="V34" s="308"/>
    </row>
    <row r="35" spans="1:22" ht="12.75">
      <c r="A35" s="275"/>
      <c r="B35" s="23" t="s">
        <v>29</v>
      </c>
      <c r="C35" s="267"/>
      <c r="D35" s="321"/>
      <c r="E35" s="277"/>
      <c r="F35" s="271"/>
      <c r="G35" s="152">
        <v>0</v>
      </c>
      <c r="H35" s="20"/>
      <c r="I35" s="20"/>
      <c r="J35" s="20"/>
      <c r="K35" s="20"/>
      <c r="L35" s="152">
        <v>0</v>
      </c>
      <c r="M35" s="152"/>
      <c r="N35" s="152"/>
      <c r="O35" s="152"/>
      <c r="P35" s="152"/>
      <c r="Q35" s="152"/>
      <c r="R35" s="152"/>
      <c r="S35" s="152"/>
      <c r="T35" s="20"/>
      <c r="U35" s="20"/>
      <c r="V35" s="308"/>
    </row>
    <row r="36" spans="1:22" ht="12.75">
      <c r="A36" s="275"/>
      <c r="B36" s="41" t="s">
        <v>39</v>
      </c>
      <c r="C36" s="267"/>
      <c r="D36" s="321"/>
      <c r="E36" s="277"/>
      <c r="F36" s="271"/>
      <c r="G36" s="153">
        <v>0</v>
      </c>
      <c r="H36" s="20"/>
      <c r="I36" s="27"/>
      <c r="J36" s="27"/>
      <c r="K36" s="27"/>
      <c r="L36" s="153">
        <v>0</v>
      </c>
      <c r="M36" s="143"/>
      <c r="N36" s="143"/>
      <c r="O36" s="143"/>
      <c r="P36" s="143"/>
      <c r="Q36" s="143"/>
      <c r="R36" s="143"/>
      <c r="S36" s="143"/>
      <c r="T36" s="27"/>
      <c r="U36" s="54"/>
      <c r="V36" s="308"/>
    </row>
    <row r="37" spans="1:22" ht="12.75">
      <c r="A37" s="275"/>
      <c r="B37" s="23" t="s">
        <v>30</v>
      </c>
      <c r="C37" s="267"/>
      <c r="D37" s="321"/>
      <c r="E37" s="277"/>
      <c r="F37" s="271"/>
      <c r="G37" s="152">
        <v>0</v>
      </c>
      <c r="H37" s="20"/>
      <c r="I37" s="27"/>
      <c r="J37" s="27"/>
      <c r="K37" s="27"/>
      <c r="L37" s="152">
        <v>0</v>
      </c>
      <c r="M37" s="143"/>
      <c r="N37" s="143"/>
      <c r="O37" s="143"/>
      <c r="P37" s="143"/>
      <c r="Q37" s="143"/>
      <c r="R37" s="143"/>
      <c r="S37" s="143"/>
      <c r="T37" s="27"/>
      <c r="U37" s="27"/>
      <c r="V37" s="308"/>
    </row>
    <row r="38" spans="1:22" ht="12.75">
      <c r="A38" s="275"/>
      <c r="B38" s="41" t="s">
        <v>31</v>
      </c>
      <c r="C38" s="267"/>
      <c r="D38" s="321"/>
      <c r="E38" s="277"/>
      <c r="F38" s="271"/>
      <c r="G38" s="153">
        <v>0</v>
      </c>
      <c r="H38" s="20"/>
      <c r="I38" s="20"/>
      <c r="J38" s="20"/>
      <c r="K38" s="20"/>
      <c r="L38" s="153">
        <v>0</v>
      </c>
      <c r="M38" s="152"/>
      <c r="N38" s="152"/>
      <c r="O38" s="152"/>
      <c r="P38" s="152"/>
      <c r="Q38" s="152"/>
      <c r="R38" s="152"/>
      <c r="S38" s="152"/>
      <c r="T38" s="20"/>
      <c r="U38" s="20"/>
      <c r="V38" s="308"/>
    </row>
    <row r="39" spans="1:22" ht="12.75">
      <c r="A39" s="275"/>
      <c r="B39" s="41" t="s">
        <v>32</v>
      </c>
      <c r="C39" s="267"/>
      <c r="D39" s="321"/>
      <c r="E39" s="277"/>
      <c r="F39" s="271"/>
      <c r="G39" s="153">
        <v>0</v>
      </c>
      <c r="H39" s="20"/>
      <c r="I39" s="20"/>
      <c r="J39" s="20"/>
      <c r="K39" s="20"/>
      <c r="L39" s="153">
        <v>0</v>
      </c>
      <c r="M39" s="152"/>
      <c r="N39" s="152"/>
      <c r="O39" s="152"/>
      <c r="P39" s="152"/>
      <c r="Q39" s="152"/>
      <c r="R39" s="152"/>
      <c r="S39" s="152"/>
      <c r="T39" s="20"/>
      <c r="U39" s="20"/>
      <c r="V39" s="308"/>
    </row>
    <row r="40" spans="1:22" ht="12.75">
      <c r="A40" s="275"/>
      <c r="B40" s="41" t="s">
        <v>33</v>
      </c>
      <c r="C40" s="267"/>
      <c r="D40" s="321"/>
      <c r="E40" s="277"/>
      <c r="F40" s="271"/>
      <c r="G40" s="153">
        <v>0</v>
      </c>
      <c r="H40" s="20"/>
      <c r="I40" s="20"/>
      <c r="J40" s="20"/>
      <c r="K40" s="20"/>
      <c r="L40" s="153">
        <v>0</v>
      </c>
      <c r="M40" s="152"/>
      <c r="N40" s="152"/>
      <c r="O40" s="152"/>
      <c r="P40" s="152"/>
      <c r="Q40" s="152"/>
      <c r="R40" s="152"/>
      <c r="S40" s="152"/>
      <c r="T40" s="20"/>
      <c r="U40" s="20"/>
      <c r="V40" s="308"/>
    </row>
    <row r="41" spans="1:22" ht="12.75">
      <c r="A41" s="275"/>
      <c r="B41" s="23" t="s">
        <v>37</v>
      </c>
      <c r="C41" s="268"/>
      <c r="D41" s="321"/>
      <c r="E41" s="277"/>
      <c r="F41" s="271"/>
      <c r="G41" s="152">
        <v>0</v>
      </c>
      <c r="H41" s="20"/>
      <c r="I41" s="20"/>
      <c r="J41" s="20"/>
      <c r="K41" s="20"/>
      <c r="L41" s="152">
        <v>0</v>
      </c>
      <c r="M41" s="152"/>
      <c r="N41" s="152"/>
      <c r="O41" s="152"/>
      <c r="P41" s="152"/>
      <c r="Q41" s="152"/>
      <c r="R41" s="152"/>
      <c r="S41" s="152"/>
      <c r="T41" s="20"/>
      <c r="U41" s="20"/>
      <c r="V41" s="308"/>
    </row>
    <row r="42" spans="1:22" ht="12.75">
      <c r="A42" s="276"/>
      <c r="B42" s="23" t="s">
        <v>38</v>
      </c>
      <c r="C42" s="269"/>
      <c r="D42" s="322"/>
      <c r="E42" s="278"/>
      <c r="F42" s="272"/>
      <c r="G42" s="152">
        <v>0</v>
      </c>
      <c r="H42" s="20"/>
      <c r="I42" s="20"/>
      <c r="J42" s="20"/>
      <c r="K42" s="20"/>
      <c r="L42" s="152">
        <v>0</v>
      </c>
      <c r="M42" s="152"/>
      <c r="N42" s="152"/>
      <c r="O42" s="152"/>
      <c r="P42" s="152"/>
      <c r="Q42" s="152"/>
      <c r="R42" s="152"/>
      <c r="S42" s="152"/>
      <c r="T42" s="20"/>
      <c r="U42" s="20"/>
      <c r="V42" s="309"/>
    </row>
    <row r="43" spans="1:22" ht="27.75" customHeight="1">
      <c r="A43" s="274" t="s">
        <v>92</v>
      </c>
      <c r="B43" s="19" t="s">
        <v>84</v>
      </c>
      <c r="C43" s="270" t="s">
        <v>43</v>
      </c>
      <c r="D43" s="260" t="s">
        <v>47</v>
      </c>
      <c r="E43" s="245">
        <v>1.1</v>
      </c>
      <c r="F43" s="265" t="s">
        <v>18</v>
      </c>
      <c r="G43" s="25">
        <f>G44+G46+G48+G52+G53</f>
        <v>60496.2</v>
      </c>
      <c r="H43" s="25">
        <f>H44+H46+H48+H52+H53</f>
        <v>0</v>
      </c>
      <c r="I43" s="20"/>
      <c r="J43" s="20"/>
      <c r="K43" s="20"/>
      <c r="L43" s="25">
        <f>L44+L46+L48+L52+L53</f>
        <v>5499.1</v>
      </c>
      <c r="M43" s="152"/>
      <c r="N43" s="152"/>
      <c r="O43" s="152"/>
      <c r="P43" s="152"/>
      <c r="Q43" s="152"/>
      <c r="R43" s="152"/>
      <c r="S43" s="152"/>
      <c r="T43" s="20"/>
      <c r="U43" s="20"/>
      <c r="V43" s="328"/>
    </row>
    <row r="44" spans="1:22" ht="12.75">
      <c r="A44" s="275"/>
      <c r="B44" s="22" t="s">
        <v>127</v>
      </c>
      <c r="C44" s="267"/>
      <c r="D44" s="315"/>
      <c r="E44" s="277"/>
      <c r="F44" s="271"/>
      <c r="G44" s="256">
        <f>SUM(H44:U44)</f>
        <v>60496.2</v>
      </c>
      <c r="H44" s="256"/>
      <c r="I44" s="27"/>
      <c r="J44" s="27"/>
      <c r="K44" s="27"/>
      <c r="L44" s="256">
        <v>5499.1</v>
      </c>
      <c r="M44" s="143"/>
      <c r="N44" s="143"/>
      <c r="O44" s="143"/>
      <c r="P44" s="143"/>
      <c r="Q44" s="143"/>
      <c r="R44" s="143"/>
      <c r="S44" s="143"/>
      <c r="T44" s="256">
        <v>5499.1</v>
      </c>
      <c r="U44" s="256">
        <v>49498</v>
      </c>
      <c r="V44" s="308"/>
    </row>
    <row r="45" spans="1:22" ht="14.25" customHeight="1">
      <c r="A45" s="275"/>
      <c r="B45" s="68" t="s">
        <v>107</v>
      </c>
      <c r="C45" s="267"/>
      <c r="D45" s="315"/>
      <c r="E45" s="277"/>
      <c r="F45" s="271"/>
      <c r="G45" s="273"/>
      <c r="H45" s="273"/>
      <c r="I45" s="28"/>
      <c r="J45" s="28"/>
      <c r="K45" s="28"/>
      <c r="L45" s="273"/>
      <c r="M45" s="144"/>
      <c r="N45" s="144"/>
      <c r="O45" s="144"/>
      <c r="P45" s="144"/>
      <c r="Q45" s="144"/>
      <c r="R45" s="144"/>
      <c r="S45" s="144"/>
      <c r="T45" s="273"/>
      <c r="U45" s="273"/>
      <c r="V45" s="308"/>
    </row>
    <row r="46" spans="1:22" ht="15" customHeight="1">
      <c r="A46" s="275"/>
      <c r="B46" s="23" t="s">
        <v>29</v>
      </c>
      <c r="C46" s="267"/>
      <c r="D46" s="315"/>
      <c r="E46" s="277"/>
      <c r="F46" s="271"/>
      <c r="G46" s="152">
        <v>0</v>
      </c>
      <c r="H46" s="20"/>
      <c r="I46" s="20"/>
      <c r="J46" s="20"/>
      <c r="K46" s="20"/>
      <c r="L46" s="152">
        <v>0</v>
      </c>
      <c r="M46" s="152"/>
      <c r="N46" s="152"/>
      <c r="O46" s="152"/>
      <c r="P46" s="152"/>
      <c r="Q46" s="152"/>
      <c r="R46" s="152"/>
      <c r="S46" s="152"/>
      <c r="T46" s="20"/>
      <c r="U46" s="20"/>
      <c r="V46" s="308"/>
    </row>
    <row r="47" spans="1:22" ht="12.75">
      <c r="A47" s="275"/>
      <c r="B47" s="41" t="s">
        <v>39</v>
      </c>
      <c r="C47" s="267"/>
      <c r="D47" s="315"/>
      <c r="E47" s="277"/>
      <c r="F47" s="271"/>
      <c r="G47" s="153">
        <v>0</v>
      </c>
      <c r="H47" s="20"/>
      <c r="I47" s="27"/>
      <c r="J47" s="27"/>
      <c r="K47" s="27"/>
      <c r="L47" s="153">
        <v>0</v>
      </c>
      <c r="M47" s="143"/>
      <c r="N47" s="143"/>
      <c r="O47" s="143"/>
      <c r="P47" s="143"/>
      <c r="Q47" s="143"/>
      <c r="R47" s="143"/>
      <c r="S47" s="143"/>
      <c r="T47" s="27"/>
      <c r="U47" s="54"/>
      <c r="V47" s="308"/>
    </row>
    <row r="48" spans="1:22" ht="16.5" customHeight="1">
      <c r="A48" s="275"/>
      <c r="B48" s="23" t="s">
        <v>30</v>
      </c>
      <c r="C48" s="267"/>
      <c r="D48" s="315"/>
      <c r="E48" s="277"/>
      <c r="F48" s="271"/>
      <c r="G48" s="152">
        <v>0</v>
      </c>
      <c r="H48" s="20"/>
      <c r="I48" s="27"/>
      <c r="J48" s="27"/>
      <c r="K48" s="27"/>
      <c r="L48" s="152">
        <v>0</v>
      </c>
      <c r="M48" s="143"/>
      <c r="N48" s="143"/>
      <c r="O48" s="143"/>
      <c r="P48" s="143"/>
      <c r="Q48" s="143"/>
      <c r="R48" s="143"/>
      <c r="S48" s="143"/>
      <c r="T48" s="27"/>
      <c r="U48" s="27"/>
      <c r="V48" s="308"/>
    </row>
    <row r="49" spans="1:22" ht="9.75" customHeight="1">
      <c r="A49" s="275"/>
      <c r="B49" s="41" t="s">
        <v>31</v>
      </c>
      <c r="C49" s="267"/>
      <c r="D49" s="315"/>
      <c r="E49" s="277"/>
      <c r="F49" s="271"/>
      <c r="G49" s="153">
        <v>0</v>
      </c>
      <c r="H49" s="20"/>
      <c r="I49" s="20"/>
      <c r="J49" s="20"/>
      <c r="K49" s="20"/>
      <c r="L49" s="153">
        <v>0</v>
      </c>
      <c r="M49" s="152"/>
      <c r="N49" s="152"/>
      <c r="O49" s="152"/>
      <c r="P49" s="152"/>
      <c r="Q49" s="152"/>
      <c r="R49" s="152"/>
      <c r="S49" s="152"/>
      <c r="T49" s="20"/>
      <c r="U49" s="20"/>
      <c r="V49" s="308"/>
    </row>
    <row r="50" spans="1:22" ht="12.75">
      <c r="A50" s="275"/>
      <c r="B50" s="41" t="s">
        <v>32</v>
      </c>
      <c r="C50" s="267"/>
      <c r="D50" s="315"/>
      <c r="E50" s="277"/>
      <c r="F50" s="271"/>
      <c r="G50" s="153">
        <v>0</v>
      </c>
      <c r="H50" s="20"/>
      <c r="I50" s="20"/>
      <c r="J50" s="20"/>
      <c r="K50" s="20"/>
      <c r="L50" s="153">
        <v>0</v>
      </c>
      <c r="M50" s="152"/>
      <c r="N50" s="152"/>
      <c r="O50" s="152"/>
      <c r="P50" s="152"/>
      <c r="Q50" s="152"/>
      <c r="R50" s="152"/>
      <c r="S50" s="152"/>
      <c r="T50" s="20"/>
      <c r="U50" s="20"/>
      <c r="V50" s="308"/>
    </row>
    <row r="51" spans="1:22" ht="12.75">
      <c r="A51" s="275"/>
      <c r="B51" s="41" t="s">
        <v>33</v>
      </c>
      <c r="C51" s="267"/>
      <c r="D51" s="315"/>
      <c r="E51" s="277"/>
      <c r="F51" s="271"/>
      <c r="G51" s="153">
        <v>0</v>
      </c>
      <c r="H51" s="20"/>
      <c r="I51" s="20"/>
      <c r="J51" s="20"/>
      <c r="K51" s="20"/>
      <c r="L51" s="153">
        <v>0</v>
      </c>
      <c r="M51" s="152"/>
      <c r="N51" s="152"/>
      <c r="O51" s="152"/>
      <c r="P51" s="152"/>
      <c r="Q51" s="152"/>
      <c r="R51" s="152"/>
      <c r="S51" s="152"/>
      <c r="T51" s="20"/>
      <c r="U51" s="20"/>
      <c r="V51" s="308"/>
    </row>
    <row r="52" spans="1:22" ht="12.75">
      <c r="A52" s="275"/>
      <c r="B52" s="23" t="s">
        <v>37</v>
      </c>
      <c r="C52" s="268"/>
      <c r="D52" s="315"/>
      <c r="E52" s="277"/>
      <c r="F52" s="271"/>
      <c r="G52" s="152">
        <v>0</v>
      </c>
      <c r="H52" s="20"/>
      <c r="I52" s="20"/>
      <c r="J52" s="20"/>
      <c r="K52" s="20"/>
      <c r="L52" s="152">
        <v>0</v>
      </c>
      <c r="M52" s="152"/>
      <c r="N52" s="152"/>
      <c r="O52" s="152"/>
      <c r="P52" s="152"/>
      <c r="Q52" s="152"/>
      <c r="R52" s="152"/>
      <c r="S52" s="152"/>
      <c r="T52" s="20"/>
      <c r="U52" s="20"/>
      <c r="V52" s="308"/>
    </row>
    <row r="53" spans="1:22" ht="12.75">
      <c r="A53" s="276"/>
      <c r="B53" s="23" t="s">
        <v>38</v>
      </c>
      <c r="C53" s="269"/>
      <c r="D53" s="316"/>
      <c r="E53" s="278"/>
      <c r="F53" s="272"/>
      <c r="G53" s="152">
        <v>0</v>
      </c>
      <c r="H53" s="20"/>
      <c r="I53" s="20"/>
      <c r="J53" s="20"/>
      <c r="K53" s="20"/>
      <c r="L53" s="152">
        <v>0</v>
      </c>
      <c r="M53" s="152"/>
      <c r="N53" s="152"/>
      <c r="O53" s="152"/>
      <c r="P53" s="152"/>
      <c r="Q53" s="152"/>
      <c r="R53" s="152"/>
      <c r="S53" s="152"/>
      <c r="T53" s="20"/>
      <c r="U53" s="20"/>
      <c r="V53" s="309"/>
    </row>
    <row r="54" spans="1:22" ht="25.5">
      <c r="A54" s="67"/>
      <c r="B54" s="16" t="s">
        <v>94</v>
      </c>
      <c r="C54" s="270" t="s">
        <v>43</v>
      </c>
      <c r="D54" s="260" t="s">
        <v>47</v>
      </c>
      <c r="E54" s="245"/>
      <c r="F54" s="265" t="s">
        <v>18</v>
      </c>
      <c r="G54" s="25">
        <f>G55+G57+G59+G63+G64</f>
        <v>13821.05</v>
      </c>
      <c r="H54" s="25">
        <f>H55+H57+H59+H63+H64</f>
        <v>0</v>
      </c>
      <c r="I54" s="20"/>
      <c r="J54" s="20"/>
      <c r="K54" s="20"/>
      <c r="L54" s="25">
        <f>L55+L57+L59+L63+L64</f>
        <v>1151.8</v>
      </c>
      <c r="M54" s="152"/>
      <c r="N54" s="152"/>
      <c r="O54" s="152"/>
      <c r="P54" s="152"/>
      <c r="Q54" s="152"/>
      <c r="R54" s="152"/>
      <c r="S54" s="152"/>
      <c r="T54" s="20"/>
      <c r="U54" s="20"/>
      <c r="V54" s="328"/>
    </row>
    <row r="55" spans="1:22" ht="12.75">
      <c r="A55" s="67"/>
      <c r="B55" s="22" t="s">
        <v>127</v>
      </c>
      <c r="C55" s="267"/>
      <c r="D55" s="321"/>
      <c r="E55" s="277"/>
      <c r="F55" s="271"/>
      <c r="G55" s="256">
        <f>SUM(H55:U55)</f>
        <v>13821.05</v>
      </c>
      <c r="H55" s="256"/>
      <c r="I55" s="27"/>
      <c r="J55" s="27"/>
      <c r="K55" s="27"/>
      <c r="L55" s="256">
        <v>1151.8</v>
      </c>
      <c r="M55" s="143"/>
      <c r="N55" s="143"/>
      <c r="O55" s="143"/>
      <c r="P55" s="143"/>
      <c r="Q55" s="143"/>
      <c r="R55" s="143"/>
      <c r="S55" s="143"/>
      <c r="T55" s="256">
        <v>1151.75</v>
      </c>
      <c r="U55" s="256">
        <v>11517.5</v>
      </c>
      <c r="V55" s="308"/>
    </row>
    <row r="56" spans="1:22" ht="12.75">
      <c r="A56" s="67"/>
      <c r="B56" s="68" t="s">
        <v>107</v>
      </c>
      <c r="C56" s="267"/>
      <c r="D56" s="321"/>
      <c r="E56" s="277"/>
      <c r="F56" s="271"/>
      <c r="G56" s="273"/>
      <c r="H56" s="273"/>
      <c r="I56" s="28"/>
      <c r="J56" s="28"/>
      <c r="K56" s="28"/>
      <c r="L56" s="273"/>
      <c r="M56" s="144"/>
      <c r="N56" s="144"/>
      <c r="O56" s="144"/>
      <c r="P56" s="144"/>
      <c r="Q56" s="144"/>
      <c r="R56" s="144"/>
      <c r="S56" s="144"/>
      <c r="T56" s="273"/>
      <c r="U56" s="273"/>
      <c r="V56" s="308"/>
    </row>
    <row r="57" spans="1:22" ht="12.75">
      <c r="A57" s="67"/>
      <c r="B57" s="23" t="s">
        <v>29</v>
      </c>
      <c r="C57" s="267"/>
      <c r="D57" s="321"/>
      <c r="E57" s="277"/>
      <c r="F57" s="271"/>
      <c r="G57" s="152">
        <v>0</v>
      </c>
      <c r="H57" s="20"/>
      <c r="I57" s="20"/>
      <c r="J57" s="20"/>
      <c r="K57" s="20"/>
      <c r="L57" s="152">
        <v>0</v>
      </c>
      <c r="M57" s="152"/>
      <c r="N57" s="152"/>
      <c r="O57" s="152"/>
      <c r="P57" s="152"/>
      <c r="Q57" s="152"/>
      <c r="R57" s="152"/>
      <c r="S57" s="152"/>
      <c r="T57" s="20"/>
      <c r="U57" s="20"/>
      <c r="V57" s="308"/>
    </row>
    <row r="58" spans="1:22" ht="12.75">
      <c r="A58" s="73" t="s">
        <v>93</v>
      </c>
      <c r="B58" s="41" t="s">
        <v>39</v>
      </c>
      <c r="C58" s="267"/>
      <c r="D58" s="321"/>
      <c r="E58" s="277"/>
      <c r="F58" s="271"/>
      <c r="G58" s="153">
        <v>0</v>
      </c>
      <c r="H58" s="20"/>
      <c r="I58" s="27"/>
      <c r="J58" s="27"/>
      <c r="K58" s="27"/>
      <c r="L58" s="153">
        <v>0</v>
      </c>
      <c r="M58" s="143"/>
      <c r="N58" s="143"/>
      <c r="O58" s="143"/>
      <c r="P58" s="143"/>
      <c r="Q58" s="143"/>
      <c r="R58" s="143"/>
      <c r="S58" s="143"/>
      <c r="T58" s="27"/>
      <c r="U58" s="54"/>
      <c r="V58" s="308"/>
    </row>
    <row r="59" spans="1:22" ht="12.75">
      <c r="A59" s="67"/>
      <c r="B59" s="23" t="s">
        <v>30</v>
      </c>
      <c r="C59" s="267"/>
      <c r="D59" s="321"/>
      <c r="E59" s="277"/>
      <c r="F59" s="271"/>
      <c r="G59" s="152">
        <v>0</v>
      </c>
      <c r="H59" s="20"/>
      <c r="I59" s="27"/>
      <c r="J59" s="27"/>
      <c r="K59" s="27"/>
      <c r="L59" s="152">
        <v>0</v>
      </c>
      <c r="M59" s="143"/>
      <c r="N59" s="143"/>
      <c r="O59" s="143"/>
      <c r="P59" s="143"/>
      <c r="Q59" s="143"/>
      <c r="R59" s="143"/>
      <c r="S59" s="143"/>
      <c r="T59" s="27"/>
      <c r="U59" s="27"/>
      <c r="V59" s="308"/>
    </row>
    <row r="60" spans="1:22" ht="12.75">
      <c r="A60" s="67"/>
      <c r="B60" s="41" t="s">
        <v>31</v>
      </c>
      <c r="C60" s="267"/>
      <c r="D60" s="321"/>
      <c r="E60" s="277"/>
      <c r="F60" s="271"/>
      <c r="G60" s="153">
        <v>0</v>
      </c>
      <c r="H60" s="20"/>
      <c r="I60" s="20"/>
      <c r="J60" s="20"/>
      <c r="K60" s="20"/>
      <c r="L60" s="153">
        <v>0</v>
      </c>
      <c r="M60" s="152"/>
      <c r="N60" s="152"/>
      <c r="O60" s="152"/>
      <c r="P60" s="152"/>
      <c r="Q60" s="152"/>
      <c r="R60" s="152"/>
      <c r="S60" s="152"/>
      <c r="T60" s="20"/>
      <c r="U60" s="20"/>
      <c r="V60" s="308"/>
    </row>
    <row r="61" spans="1:22" ht="12.75">
      <c r="A61" s="67"/>
      <c r="B61" s="41" t="s">
        <v>32</v>
      </c>
      <c r="C61" s="267"/>
      <c r="D61" s="321"/>
      <c r="E61" s="277"/>
      <c r="F61" s="271"/>
      <c r="G61" s="153">
        <v>0</v>
      </c>
      <c r="H61" s="20"/>
      <c r="I61" s="20"/>
      <c r="J61" s="20"/>
      <c r="K61" s="20"/>
      <c r="L61" s="153">
        <v>0</v>
      </c>
      <c r="M61" s="152"/>
      <c r="N61" s="152"/>
      <c r="O61" s="152"/>
      <c r="P61" s="152"/>
      <c r="Q61" s="152"/>
      <c r="R61" s="152"/>
      <c r="S61" s="152"/>
      <c r="T61" s="20"/>
      <c r="U61" s="20"/>
      <c r="V61" s="308"/>
    </row>
    <row r="62" spans="1:22" ht="12.75">
      <c r="A62" s="67"/>
      <c r="B62" s="41" t="s">
        <v>33</v>
      </c>
      <c r="C62" s="267"/>
      <c r="D62" s="321"/>
      <c r="E62" s="277"/>
      <c r="F62" s="271"/>
      <c r="G62" s="153">
        <v>0</v>
      </c>
      <c r="H62" s="20"/>
      <c r="I62" s="20"/>
      <c r="J62" s="20"/>
      <c r="K62" s="20"/>
      <c r="L62" s="153">
        <v>0</v>
      </c>
      <c r="M62" s="152"/>
      <c r="N62" s="152"/>
      <c r="O62" s="152"/>
      <c r="P62" s="152"/>
      <c r="Q62" s="152"/>
      <c r="R62" s="152"/>
      <c r="S62" s="152"/>
      <c r="T62" s="20"/>
      <c r="U62" s="20"/>
      <c r="V62" s="308"/>
    </row>
    <row r="63" spans="1:22" ht="12.75">
      <c r="A63" s="67"/>
      <c r="B63" s="23" t="s">
        <v>37</v>
      </c>
      <c r="C63" s="268"/>
      <c r="D63" s="321"/>
      <c r="E63" s="277"/>
      <c r="F63" s="271"/>
      <c r="G63" s="152">
        <v>0</v>
      </c>
      <c r="H63" s="20"/>
      <c r="I63" s="20"/>
      <c r="J63" s="20"/>
      <c r="K63" s="20"/>
      <c r="L63" s="152">
        <v>0</v>
      </c>
      <c r="M63" s="152"/>
      <c r="N63" s="152"/>
      <c r="O63" s="152"/>
      <c r="P63" s="152"/>
      <c r="Q63" s="152"/>
      <c r="R63" s="152"/>
      <c r="S63" s="152"/>
      <c r="T63" s="20"/>
      <c r="U63" s="20"/>
      <c r="V63" s="308"/>
    </row>
    <row r="64" spans="1:22" ht="12.75">
      <c r="A64" s="67"/>
      <c r="B64" s="23" t="s">
        <v>38</v>
      </c>
      <c r="C64" s="269"/>
      <c r="D64" s="322"/>
      <c r="E64" s="278"/>
      <c r="F64" s="272"/>
      <c r="G64" s="152">
        <v>0</v>
      </c>
      <c r="H64" s="20"/>
      <c r="I64" s="20"/>
      <c r="J64" s="20"/>
      <c r="K64" s="20"/>
      <c r="L64" s="152">
        <v>0</v>
      </c>
      <c r="M64" s="152"/>
      <c r="N64" s="152"/>
      <c r="O64" s="152"/>
      <c r="P64" s="152"/>
      <c r="Q64" s="152"/>
      <c r="R64" s="152"/>
      <c r="S64" s="152"/>
      <c r="T64" s="20"/>
      <c r="U64" s="20"/>
      <c r="V64" s="309"/>
    </row>
    <row r="65" spans="1:23" s="1" customFormat="1" ht="21.75" customHeight="1">
      <c r="A65" s="288"/>
      <c r="B65" s="17" t="s">
        <v>14</v>
      </c>
      <c r="C65" s="303"/>
      <c r="D65" s="317"/>
      <c r="E65" s="279">
        <f>G21+G10+G32+G43+G54</f>
        <v>171827.25</v>
      </c>
      <c r="F65" s="279">
        <f>G22+G11+G33+G44+G55</f>
        <v>171827.25</v>
      </c>
      <c r="G65" s="20">
        <f>G66+G68+G70+G74+G75</f>
        <v>116421.35</v>
      </c>
      <c r="H65" s="20">
        <f>H66+H68+H70+H74+H75</f>
        <v>0</v>
      </c>
      <c r="I65" s="20">
        <f>I66+I68+I70+I74+I75</f>
        <v>0</v>
      </c>
      <c r="J65" s="20">
        <f>J66+J68+J70+J74+J75</f>
        <v>0</v>
      </c>
      <c r="K65" s="20">
        <f>K66+K68+K70+K74+K75</f>
        <v>0</v>
      </c>
      <c r="L65" s="152">
        <f>L66+L68+L70+L74+L75</f>
        <v>55405.90000000001</v>
      </c>
      <c r="M65" s="152"/>
      <c r="N65" s="152"/>
      <c r="O65" s="152"/>
      <c r="P65" s="152"/>
      <c r="Q65" s="152"/>
      <c r="R65" s="152"/>
      <c r="S65" s="152"/>
      <c r="T65" s="20">
        <f>T66+T68+T70+T74+T75</f>
        <v>55405.850000000006</v>
      </c>
      <c r="U65" s="20">
        <f>U66+U68+U70+U74+U75</f>
        <v>61015.5</v>
      </c>
      <c r="V65" s="262"/>
      <c r="W65" s="55"/>
    </row>
    <row r="66" spans="1:22" s="1" customFormat="1" ht="12.75" customHeight="1">
      <c r="A66" s="287"/>
      <c r="B66" s="22" t="s">
        <v>127</v>
      </c>
      <c r="C66" s="304"/>
      <c r="D66" s="318"/>
      <c r="E66" s="280"/>
      <c r="F66" s="280"/>
      <c r="G66" s="256">
        <f>H66+T66+U66</f>
        <v>116421.35</v>
      </c>
      <c r="H66" s="250">
        <f>H22+H11+H44+H33+H55</f>
        <v>0</v>
      </c>
      <c r="I66" s="250">
        <f>I22+I11+I44+I33+I55</f>
        <v>0</v>
      </c>
      <c r="J66" s="250">
        <f>J22+J11+J44+J33+J55</f>
        <v>0</v>
      </c>
      <c r="K66" s="250">
        <f>K22+K11+K44+K33+K55</f>
        <v>0</v>
      </c>
      <c r="L66" s="250">
        <f>L22+L11+L44+L33+L55</f>
        <v>55405.90000000001</v>
      </c>
      <c r="M66" s="145"/>
      <c r="N66" s="145"/>
      <c r="O66" s="145"/>
      <c r="P66" s="145"/>
      <c r="Q66" s="145"/>
      <c r="R66" s="145"/>
      <c r="S66" s="145"/>
      <c r="T66" s="250">
        <f>T22+T11+T44+T33+T55</f>
        <v>55405.850000000006</v>
      </c>
      <c r="U66" s="250">
        <f>U22+U11+U44+U33+U55</f>
        <v>61015.5</v>
      </c>
      <c r="V66" s="263"/>
    </row>
    <row r="67" spans="1:23" s="1" customFormat="1" ht="12.75" customHeight="1">
      <c r="A67" s="287"/>
      <c r="B67" s="68" t="s">
        <v>107</v>
      </c>
      <c r="C67" s="304"/>
      <c r="D67" s="318"/>
      <c r="E67" s="280"/>
      <c r="F67" s="280"/>
      <c r="G67" s="257"/>
      <c r="H67" s="251"/>
      <c r="I67" s="251"/>
      <c r="J67" s="251"/>
      <c r="K67" s="251"/>
      <c r="L67" s="251"/>
      <c r="M67" s="146"/>
      <c r="N67" s="146"/>
      <c r="O67" s="146"/>
      <c r="P67" s="146"/>
      <c r="Q67" s="146"/>
      <c r="R67" s="146"/>
      <c r="S67" s="146"/>
      <c r="T67" s="251"/>
      <c r="U67" s="251"/>
      <c r="V67" s="263"/>
      <c r="W67" s="55"/>
    </row>
    <row r="68" spans="1:22" s="1" customFormat="1" ht="12.75">
      <c r="A68" s="287"/>
      <c r="B68" s="23" t="s">
        <v>29</v>
      </c>
      <c r="C68" s="304"/>
      <c r="D68" s="318"/>
      <c r="E68" s="280"/>
      <c r="F68" s="280"/>
      <c r="G68" s="20">
        <f>SUM(G69)</f>
        <v>0</v>
      </c>
      <c r="H68" s="20"/>
      <c r="I68" s="20"/>
      <c r="J68" s="20"/>
      <c r="K68" s="20"/>
      <c r="L68" s="152"/>
      <c r="M68" s="152"/>
      <c r="N68" s="152"/>
      <c r="O68" s="152"/>
      <c r="P68" s="152"/>
      <c r="Q68" s="152"/>
      <c r="R68" s="152"/>
      <c r="S68" s="152"/>
      <c r="T68" s="20"/>
      <c r="U68" s="20"/>
      <c r="V68" s="263"/>
    </row>
    <row r="69" spans="1:22" s="1" customFormat="1" ht="15" customHeight="1">
      <c r="A69" s="287"/>
      <c r="B69" s="44" t="s">
        <v>52</v>
      </c>
      <c r="C69" s="304"/>
      <c r="D69" s="318"/>
      <c r="E69" s="280"/>
      <c r="F69" s="280"/>
      <c r="G69" s="48">
        <f>H69+T69+U69</f>
        <v>0</v>
      </c>
      <c r="H69" s="48">
        <f>H25</f>
        <v>0</v>
      </c>
      <c r="I69" s="48">
        <f>I25</f>
        <v>0</v>
      </c>
      <c r="J69" s="48">
        <f>J25</f>
        <v>0</v>
      </c>
      <c r="K69" s="48">
        <f>K25</f>
        <v>0</v>
      </c>
      <c r="L69" s="153">
        <f>L25</f>
        <v>0</v>
      </c>
      <c r="M69" s="153"/>
      <c r="N69" s="153"/>
      <c r="O69" s="153"/>
      <c r="P69" s="153"/>
      <c r="Q69" s="153"/>
      <c r="R69" s="153"/>
      <c r="S69" s="153"/>
      <c r="T69" s="48">
        <f>T25</f>
        <v>0</v>
      </c>
      <c r="U69" s="48">
        <f>U25</f>
        <v>0</v>
      </c>
      <c r="V69" s="263"/>
    </row>
    <row r="70" spans="1:22" s="1" customFormat="1" ht="12.75">
      <c r="A70" s="287"/>
      <c r="B70" s="23" t="s">
        <v>30</v>
      </c>
      <c r="C70" s="304"/>
      <c r="D70" s="318"/>
      <c r="E70" s="280"/>
      <c r="F70" s="280"/>
      <c r="G70" s="20">
        <f>SUM(G71:G73)</f>
        <v>0</v>
      </c>
      <c r="H70" s="20">
        <f>SUM(H71:H73)</f>
        <v>0</v>
      </c>
      <c r="I70" s="20">
        <f>SUM(I71:I73)</f>
        <v>0</v>
      </c>
      <c r="J70" s="20">
        <f>SUM(J71:J73)</f>
        <v>0</v>
      </c>
      <c r="K70" s="20">
        <f>SUM(K71:K73)</f>
        <v>0</v>
      </c>
      <c r="L70" s="152">
        <f>SUM(L71:L73)</f>
        <v>0</v>
      </c>
      <c r="M70" s="152"/>
      <c r="N70" s="152"/>
      <c r="O70" s="152"/>
      <c r="P70" s="152"/>
      <c r="Q70" s="152"/>
      <c r="R70" s="152"/>
      <c r="S70" s="152"/>
      <c r="T70" s="20">
        <f>SUM(T71:T73)</f>
        <v>0</v>
      </c>
      <c r="U70" s="20">
        <f>SUM(U71:U73)</f>
        <v>0</v>
      </c>
      <c r="V70" s="263"/>
    </row>
    <row r="71" spans="1:22" s="1" customFormat="1" ht="15.75" customHeight="1">
      <c r="A71" s="259"/>
      <c r="B71" s="41" t="s">
        <v>31</v>
      </c>
      <c r="C71" s="305"/>
      <c r="D71" s="319"/>
      <c r="E71" s="281"/>
      <c r="F71" s="281"/>
      <c r="G71" s="48">
        <f>SUM(H71:U71)</f>
        <v>0</v>
      </c>
      <c r="H71" s="48">
        <f>H27+H16</f>
        <v>0</v>
      </c>
      <c r="I71" s="48">
        <f>I27+I16</f>
        <v>0</v>
      </c>
      <c r="J71" s="48">
        <f>J27+J16</f>
        <v>0</v>
      </c>
      <c r="K71" s="48">
        <f>K27+K16</f>
        <v>0</v>
      </c>
      <c r="L71" s="153">
        <f>L27+L16</f>
        <v>0</v>
      </c>
      <c r="M71" s="153"/>
      <c r="N71" s="153"/>
      <c r="O71" s="153"/>
      <c r="P71" s="153"/>
      <c r="Q71" s="153"/>
      <c r="R71" s="153"/>
      <c r="S71" s="153"/>
      <c r="T71" s="48">
        <f>T27+T16</f>
        <v>0</v>
      </c>
      <c r="U71" s="48">
        <f>U27+U16</f>
        <v>0</v>
      </c>
      <c r="V71" s="263"/>
    </row>
    <row r="72" spans="1:22" s="1" customFormat="1" ht="15.75" customHeight="1">
      <c r="A72" s="259"/>
      <c r="B72" s="41" t="s">
        <v>32</v>
      </c>
      <c r="C72" s="305"/>
      <c r="D72" s="319"/>
      <c r="E72" s="281"/>
      <c r="F72" s="281"/>
      <c r="G72" s="48">
        <f>SUM(H72:U72)</f>
        <v>0</v>
      </c>
      <c r="H72" s="48">
        <f>H28+H17</f>
        <v>0</v>
      </c>
      <c r="I72" s="48">
        <f>I28+I17</f>
        <v>0</v>
      </c>
      <c r="J72" s="48">
        <f>J28+J17</f>
        <v>0</v>
      </c>
      <c r="K72" s="48">
        <f>K28+K17</f>
        <v>0</v>
      </c>
      <c r="L72" s="153">
        <f>L28+L17</f>
        <v>0</v>
      </c>
      <c r="M72" s="153"/>
      <c r="N72" s="153"/>
      <c r="O72" s="153"/>
      <c r="P72" s="153"/>
      <c r="Q72" s="153"/>
      <c r="R72" s="153"/>
      <c r="S72" s="153"/>
      <c r="T72" s="48">
        <f>T28+T17</f>
        <v>0</v>
      </c>
      <c r="U72" s="48">
        <f>U28+U17</f>
        <v>0</v>
      </c>
      <c r="V72" s="263"/>
    </row>
    <row r="73" spans="1:22" s="1" customFormat="1" ht="15.75" customHeight="1">
      <c r="A73" s="259"/>
      <c r="B73" s="41" t="s">
        <v>33</v>
      </c>
      <c r="C73" s="305"/>
      <c r="D73" s="319"/>
      <c r="E73" s="281"/>
      <c r="F73" s="281"/>
      <c r="G73" s="48">
        <f>SUM(H73:U73)</f>
        <v>0</v>
      </c>
      <c r="H73" s="48">
        <f>H29+H18</f>
        <v>0</v>
      </c>
      <c r="I73" s="48">
        <f>I29+I18</f>
        <v>0</v>
      </c>
      <c r="J73" s="48">
        <f>J29+J18</f>
        <v>0</v>
      </c>
      <c r="K73" s="48">
        <f>K29+K18</f>
        <v>0</v>
      </c>
      <c r="L73" s="153">
        <f>L29+L18</f>
        <v>0</v>
      </c>
      <c r="M73" s="153"/>
      <c r="N73" s="153"/>
      <c r="O73" s="153"/>
      <c r="P73" s="153"/>
      <c r="Q73" s="153"/>
      <c r="R73" s="153"/>
      <c r="S73" s="153"/>
      <c r="T73" s="48">
        <f>T29+T18</f>
        <v>0</v>
      </c>
      <c r="U73" s="48">
        <f>U29+U18</f>
        <v>0</v>
      </c>
      <c r="V73" s="263"/>
    </row>
    <row r="74" spans="1:22" ht="15.75" customHeight="1">
      <c r="A74" s="259"/>
      <c r="B74" s="23" t="s">
        <v>37</v>
      </c>
      <c r="C74" s="305"/>
      <c r="D74" s="319"/>
      <c r="E74" s="281"/>
      <c r="F74" s="281"/>
      <c r="G74" s="20">
        <f>SUM(H74:U74)</f>
        <v>0</v>
      </c>
      <c r="H74" s="20"/>
      <c r="I74" s="20"/>
      <c r="J74" s="20"/>
      <c r="K74" s="20"/>
      <c r="L74" s="152"/>
      <c r="M74" s="152"/>
      <c r="N74" s="152"/>
      <c r="O74" s="152"/>
      <c r="P74" s="152"/>
      <c r="Q74" s="152"/>
      <c r="R74" s="152"/>
      <c r="S74" s="152"/>
      <c r="T74" s="20"/>
      <c r="U74" s="20"/>
      <c r="V74" s="263"/>
    </row>
    <row r="75" spans="1:22" ht="15.75" customHeight="1">
      <c r="A75" s="246"/>
      <c r="B75" s="23" t="s">
        <v>38</v>
      </c>
      <c r="C75" s="306"/>
      <c r="D75" s="320"/>
      <c r="E75" s="282"/>
      <c r="F75" s="282"/>
      <c r="G75" s="20">
        <f>SUM(H75:U75)</f>
        <v>0</v>
      </c>
      <c r="H75" s="20"/>
      <c r="I75" s="20"/>
      <c r="J75" s="20"/>
      <c r="K75" s="20"/>
      <c r="L75" s="152"/>
      <c r="M75" s="152"/>
      <c r="N75" s="152"/>
      <c r="O75" s="152"/>
      <c r="P75" s="152"/>
      <c r="Q75" s="152"/>
      <c r="R75" s="152"/>
      <c r="S75" s="152"/>
      <c r="T75" s="20"/>
      <c r="U75" s="20"/>
      <c r="V75" s="264"/>
    </row>
    <row r="76" spans="2:21" ht="12.75">
      <c r="B76" s="82"/>
      <c r="C76" s="5"/>
      <c r="D76" s="5"/>
      <c r="E76" s="49"/>
      <c r="F76" s="49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4"/>
      <c r="U76" s="29"/>
    </row>
    <row r="77" spans="1:22" ht="14.25">
      <c r="A77" s="81">
        <v>2</v>
      </c>
      <c r="B77" s="80" t="s">
        <v>65</v>
      </c>
      <c r="C77" s="18"/>
      <c r="D77" s="18"/>
      <c r="E77" s="43"/>
      <c r="F77" s="43"/>
      <c r="G77" s="30"/>
      <c r="H77" s="45"/>
      <c r="I77" s="46"/>
      <c r="J77" s="46"/>
      <c r="K77" s="83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39"/>
    </row>
    <row r="78" spans="1:22" ht="36.75" customHeight="1" hidden="1">
      <c r="A78" s="324" t="s">
        <v>66</v>
      </c>
      <c r="B78" s="19" t="s">
        <v>116</v>
      </c>
      <c r="C78" s="289" t="s">
        <v>58</v>
      </c>
      <c r="D78" s="286" t="s">
        <v>3</v>
      </c>
      <c r="E78" s="258">
        <v>0.115</v>
      </c>
      <c r="F78" s="283" t="s">
        <v>17</v>
      </c>
      <c r="G78" s="25">
        <f>G79+G81+G83+G87+G88</f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8"/>
    </row>
    <row r="79" spans="1:22" ht="12.75" hidden="1">
      <c r="A79" s="275"/>
      <c r="B79" s="22" t="s">
        <v>127</v>
      </c>
      <c r="C79" s="290"/>
      <c r="D79" s="336"/>
      <c r="E79" s="326"/>
      <c r="F79" s="284"/>
      <c r="G79" s="256">
        <f>SUM(H79:U79)</f>
        <v>0</v>
      </c>
      <c r="H79" s="256"/>
      <c r="I79" s="27"/>
      <c r="J79" s="27"/>
      <c r="K79" s="27"/>
      <c r="L79" s="143"/>
      <c r="M79" s="143"/>
      <c r="N79" s="143"/>
      <c r="O79" s="143"/>
      <c r="P79" s="143"/>
      <c r="Q79" s="143"/>
      <c r="R79" s="143"/>
      <c r="S79" s="143"/>
      <c r="T79" s="256"/>
      <c r="U79" s="256"/>
      <c r="V79" s="287"/>
    </row>
    <row r="80" spans="1:22" ht="12.75" hidden="1">
      <c r="A80" s="275"/>
      <c r="B80" s="68" t="s">
        <v>107</v>
      </c>
      <c r="C80" s="290"/>
      <c r="D80" s="336"/>
      <c r="E80" s="326"/>
      <c r="F80" s="284"/>
      <c r="G80" s="273"/>
      <c r="H80" s="273"/>
      <c r="I80" s="28"/>
      <c r="J80" s="28"/>
      <c r="K80" s="28"/>
      <c r="L80" s="144"/>
      <c r="M80" s="144"/>
      <c r="N80" s="144"/>
      <c r="O80" s="144"/>
      <c r="P80" s="144"/>
      <c r="Q80" s="144"/>
      <c r="R80" s="144"/>
      <c r="S80" s="144"/>
      <c r="T80" s="273"/>
      <c r="U80" s="273"/>
      <c r="V80" s="287"/>
    </row>
    <row r="81" spans="1:22" ht="12.75" hidden="1">
      <c r="A81" s="275"/>
      <c r="B81" s="23" t="s">
        <v>29</v>
      </c>
      <c r="C81" s="290"/>
      <c r="D81" s="336"/>
      <c r="E81" s="326"/>
      <c r="F81" s="284"/>
      <c r="G81" s="20">
        <f>SUM(G82)</f>
        <v>0</v>
      </c>
      <c r="H81" s="28"/>
      <c r="I81" s="28"/>
      <c r="J81" s="28"/>
      <c r="K81" s="28"/>
      <c r="L81" s="144"/>
      <c r="M81" s="144"/>
      <c r="N81" s="144"/>
      <c r="O81" s="144"/>
      <c r="P81" s="144"/>
      <c r="Q81" s="144"/>
      <c r="R81" s="144"/>
      <c r="S81" s="144"/>
      <c r="T81" s="28"/>
      <c r="U81" s="28"/>
      <c r="V81" s="287"/>
    </row>
    <row r="82" spans="1:22" ht="12.75" hidden="1">
      <c r="A82" s="275"/>
      <c r="B82" s="44" t="s">
        <v>39</v>
      </c>
      <c r="C82" s="290"/>
      <c r="D82" s="336"/>
      <c r="E82" s="326"/>
      <c r="F82" s="284"/>
      <c r="G82" s="48">
        <f>SUM(H82:U82)</f>
        <v>0</v>
      </c>
      <c r="H82" s="28"/>
      <c r="I82" s="28"/>
      <c r="J82" s="28"/>
      <c r="K82" s="28"/>
      <c r="L82" s="144"/>
      <c r="M82" s="144"/>
      <c r="N82" s="144"/>
      <c r="O82" s="144"/>
      <c r="P82" s="144"/>
      <c r="Q82" s="144"/>
      <c r="R82" s="144"/>
      <c r="S82" s="144"/>
      <c r="T82" s="28"/>
      <c r="U82" s="28"/>
      <c r="V82" s="287"/>
    </row>
    <row r="83" spans="1:22" ht="12.75" hidden="1">
      <c r="A83" s="275"/>
      <c r="B83" s="23" t="s">
        <v>30</v>
      </c>
      <c r="C83" s="290"/>
      <c r="D83" s="336"/>
      <c r="E83" s="326"/>
      <c r="F83" s="284"/>
      <c r="G83" s="20">
        <f>SUM(G84:G86)</f>
        <v>0</v>
      </c>
      <c r="H83" s="20">
        <f>SUM(H84:H86)</f>
        <v>0</v>
      </c>
      <c r="I83" s="20"/>
      <c r="J83" s="20"/>
      <c r="K83" s="20"/>
      <c r="L83" s="152"/>
      <c r="M83" s="152"/>
      <c r="N83" s="152"/>
      <c r="O83" s="152"/>
      <c r="P83" s="152"/>
      <c r="Q83" s="152"/>
      <c r="R83" s="152"/>
      <c r="S83" s="152"/>
      <c r="T83" s="20">
        <f>SUM(T84:T86)</f>
        <v>0</v>
      </c>
      <c r="U83" s="20">
        <f>SUM(U84:U86)</f>
        <v>0</v>
      </c>
      <c r="V83" s="287"/>
    </row>
    <row r="84" spans="1:22" ht="12.75" hidden="1">
      <c r="A84" s="275"/>
      <c r="B84" s="44" t="s">
        <v>41</v>
      </c>
      <c r="C84" s="290"/>
      <c r="D84" s="336"/>
      <c r="E84" s="326"/>
      <c r="F84" s="284"/>
      <c r="G84" s="48">
        <f>SUM(H84:U84)</f>
        <v>0</v>
      </c>
      <c r="H84" s="20"/>
      <c r="I84" s="20"/>
      <c r="J84" s="20"/>
      <c r="K84" s="20"/>
      <c r="L84" s="152"/>
      <c r="M84" s="152"/>
      <c r="N84" s="152"/>
      <c r="O84" s="152"/>
      <c r="P84" s="152"/>
      <c r="Q84" s="152"/>
      <c r="R84" s="152"/>
      <c r="S84" s="152"/>
      <c r="T84" s="20"/>
      <c r="U84" s="20"/>
      <c r="V84" s="287"/>
    </row>
    <row r="85" spans="1:22" ht="12.75" hidden="1">
      <c r="A85" s="275"/>
      <c r="B85" s="41" t="s">
        <v>32</v>
      </c>
      <c r="C85" s="290"/>
      <c r="D85" s="336"/>
      <c r="E85" s="326"/>
      <c r="F85" s="284"/>
      <c r="G85" s="48">
        <f>SUM(H85:U85)</f>
        <v>0</v>
      </c>
      <c r="H85" s="20"/>
      <c r="I85" s="20"/>
      <c r="J85" s="20"/>
      <c r="K85" s="20"/>
      <c r="L85" s="152"/>
      <c r="M85" s="152"/>
      <c r="N85" s="152"/>
      <c r="O85" s="152"/>
      <c r="P85" s="152"/>
      <c r="Q85" s="152"/>
      <c r="R85" s="152"/>
      <c r="S85" s="152"/>
      <c r="T85" s="20"/>
      <c r="U85" s="20"/>
      <c r="V85" s="287"/>
    </row>
    <row r="86" spans="1:22" ht="12.75" hidden="1">
      <c r="A86" s="275"/>
      <c r="B86" s="41" t="s">
        <v>33</v>
      </c>
      <c r="C86" s="290"/>
      <c r="D86" s="336"/>
      <c r="E86" s="326"/>
      <c r="F86" s="284"/>
      <c r="G86" s="48">
        <f>SUM(H86:U86)</f>
        <v>0</v>
      </c>
      <c r="H86" s="48"/>
      <c r="I86" s="48"/>
      <c r="J86" s="48"/>
      <c r="K86" s="48"/>
      <c r="L86" s="153"/>
      <c r="M86" s="153"/>
      <c r="N86" s="153"/>
      <c r="O86" s="153"/>
      <c r="P86" s="153"/>
      <c r="Q86" s="153"/>
      <c r="R86" s="153"/>
      <c r="S86" s="153"/>
      <c r="T86" s="20"/>
      <c r="U86" s="20"/>
      <c r="V86" s="287"/>
    </row>
    <row r="87" spans="1:22" ht="12.75" hidden="1">
      <c r="A87" s="275"/>
      <c r="B87" s="23" t="s">
        <v>37</v>
      </c>
      <c r="C87" s="290"/>
      <c r="D87" s="336"/>
      <c r="E87" s="326"/>
      <c r="F87" s="284"/>
      <c r="G87" s="20">
        <f>SUM(H87:U87)</f>
        <v>0</v>
      </c>
      <c r="H87" s="20"/>
      <c r="I87" s="20"/>
      <c r="J87" s="20"/>
      <c r="K87" s="20"/>
      <c r="L87" s="152"/>
      <c r="M87" s="152"/>
      <c r="N87" s="152"/>
      <c r="O87" s="152"/>
      <c r="P87" s="152"/>
      <c r="Q87" s="152"/>
      <c r="R87" s="152"/>
      <c r="S87" s="152"/>
      <c r="T87" s="20"/>
      <c r="U87" s="20"/>
      <c r="V87" s="287"/>
    </row>
    <row r="88" spans="1:22" ht="12.75" hidden="1">
      <c r="A88" s="276"/>
      <c r="B88" s="23" t="s">
        <v>38</v>
      </c>
      <c r="C88" s="313"/>
      <c r="D88" s="337"/>
      <c r="E88" s="327"/>
      <c r="F88" s="325"/>
      <c r="G88" s="20">
        <f>SUM(H88:U88)</f>
        <v>0</v>
      </c>
      <c r="H88" s="20"/>
      <c r="I88" s="20"/>
      <c r="J88" s="20"/>
      <c r="K88" s="20"/>
      <c r="L88" s="152"/>
      <c r="M88" s="152"/>
      <c r="N88" s="152"/>
      <c r="O88" s="152"/>
      <c r="P88" s="152"/>
      <c r="Q88" s="152"/>
      <c r="R88" s="152"/>
      <c r="S88" s="152"/>
      <c r="T88" s="20"/>
      <c r="U88" s="20"/>
      <c r="V88" s="302"/>
    </row>
    <row r="89" spans="1:22" ht="25.5" customHeight="1">
      <c r="A89" s="274" t="s">
        <v>66</v>
      </c>
      <c r="B89" s="13" t="s">
        <v>21</v>
      </c>
      <c r="C89" s="338" t="s">
        <v>58</v>
      </c>
      <c r="D89" s="286" t="s">
        <v>0</v>
      </c>
      <c r="E89" s="258">
        <v>0.14</v>
      </c>
      <c r="F89" s="258" t="s">
        <v>17</v>
      </c>
      <c r="G89" s="25">
        <f>G90+G92+G94+G98+G99</f>
        <v>28928.6</v>
      </c>
      <c r="H89" s="20"/>
      <c r="I89" s="20"/>
      <c r="J89" s="20"/>
      <c r="K89" s="20"/>
      <c r="L89" s="25">
        <f>L90+L92+L94+L98+L99</f>
        <v>14464.3</v>
      </c>
      <c r="M89" s="152"/>
      <c r="N89" s="152"/>
      <c r="O89" s="152"/>
      <c r="P89" s="152"/>
      <c r="Q89" s="152"/>
      <c r="R89" s="152"/>
      <c r="S89" s="152"/>
      <c r="T89" s="20"/>
      <c r="U89" s="20"/>
      <c r="V89" s="288"/>
    </row>
    <row r="90" spans="1:22" ht="12.75">
      <c r="A90" s="275"/>
      <c r="B90" s="22" t="s">
        <v>127</v>
      </c>
      <c r="C90" s="339"/>
      <c r="D90" s="287"/>
      <c r="E90" s="259"/>
      <c r="F90" s="259"/>
      <c r="G90" s="256">
        <f>SUM(H90:U90)</f>
        <v>28928.6</v>
      </c>
      <c r="H90" s="256"/>
      <c r="I90" s="27"/>
      <c r="J90" s="27"/>
      <c r="K90" s="27"/>
      <c r="L90" s="256">
        <f>SUM(M90:Z90)</f>
        <v>14464.3</v>
      </c>
      <c r="M90" s="143"/>
      <c r="N90" s="143"/>
      <c r="O90" s="143"/>
      <c r="P90" s="143"/>
      <c r="Q90" s="143"/>
      <c r="R90" s="143"/>
      <c r="S90" s="143"/>
      <c r="T90" s="256">
        <v>14464.3</v>
      </c>
      <c r="U90" s="256"/>
      <c r="V90" s="287"/>
    </row>
    <row r="91" spans="1:22" ht="12.75">
      <c r="A91" s="275"/>
      <c r="B91" s="68" t="s">
        <v>107</v>
      </c>
      <c r="C91" s="339"/>
      <c r="D91" s="287"/>
      <c r="E91" s="259"/>
      <c r="F91" s="259"/>
      <c r="G91" s="257"/>
      <c r="H91" s="273"/>
      <c r="I91" s="28"/>
      <c r="J91" s="28"/>
      <c r="K91" s="28"/>
      <c r="L91" s="257"/>
      <c r="M91" s="144"/>
      <c r="N91" s="144"/>
      <c r="O91" s="144"/>
      <c r="P91" s="144"/>
      <c r="Q91" s="144"/>
      <c r="R91" s="144"/>
      <c r="S91" s="144"/>
      <c r="T91" s="273"/>
      <c r="U91" s="273"/>
      <c r="V91" s="287"/>
    </row>
    <row r="92" spans="1:22" ht="12.75">
      <c r="A92" s="275"/>
      <c r="B92" s="51" t="s">
        <v>29</v>
      </c>
      <c r="C92" s="339"/>
      <c r="D92" s="287"/>
      <c r="E92" s="259"/>
      <c r="F92" s="259"/>
      <c r="G92" s="152">
        <v>0</v>
      </c>
      <c r="H92" s="28"/>
      <c r="I92" s="28"/>
      <c r="J92" s="28"/>
      <c r="K92" s="28"/>
      <c r="L92" s="152">
        <v>0</v>
      </c>
      <c r="M92" s="144"/>
      <c r="N92" s="144"/>
      <c r="O92" s="144"/>
      <c r="P92" s="144"/>
      <c r="Q92" s="144"/>
      <c r="R92" s="144"/>
      <c r="S92" s="144"/>
      <c r="T92" s="28"/>
      <c r="U92" s="28"/>
      <c r="V92" s="287"/>
    </row>
    <row r="93" spans="1:22" ht="12.75">
      <c r="A93" s="275"/>
      <c r="B93" s="44" t="s">
        <v>39</v>
      </c>
      <c r="C93" s="339"/>
      <c r="D93" s="287"/>
      <c r="E93" s="259"/>
      <c r="F93" s="259"/>
      <c r="G93" s="153">
        <v>0</v>
      </c>
      <c r="H93" s="28"/>
      <c r="I93" s="28"/>
      <c r="J93" s="28"/>
      <c r="K93" s="28"/>
      <c r="L93" s="153">
        <v>0</v>
      </c>
      <c r="M93" s="144"/>
      <c r="N93" s="144"/>
      <c r="O93" s="144"/>
      <c r="P93" s="144"/>
      <c r="Q93" s="144"/>
      <c r="R93" s="144"/>
      <c r="S93" s="144"/>
      <c r="T93" s="28"/>
      <c r="U93" s="28"/>
      <c r="V93" s="287"/>
    </row>
    <row r="94" spans="1:22" ht="12.75">
      <c r="A94" s="275"/>
      <c r="B94" s="23" t="s">
        <v>30</v>
      </c>
      <c r="C94" s="339"/>
      <c r="D94" s="287"/>
      <c r="E94" s="259"/>
      <c r="F94" s="259"/>
      <c r="G94" s="152">
        <v>0</v>
      </c>
      <c r="H94" s="28"/>
      <c r="I94" s="28"/>
      <c r="J94" s="28"/>
      <c r="K94" s="28"/>
      <c r="L94" s="152">
        <v>0</v>
      </c>
      <c r="M94" s="144"/>
      <c r="N94" s="144"/>
      <c r="O94" s="144"/>
      <c r="P94" s="144"/>
      <c r="Q94" s="144"/>
      <c r="R94" s="144"/>
      <c r="S94" s="144"/>
      <c r="T94" s="28"/>
      <c r="U94" s="28"/>
      <c r="V94" s="287"/>
    </row>
    <row r="95" spans="1:22" ht="12.75">
      <c r="A95" s="275"/>
      <c r="B95" s="44" t="s">
        <v>41</v>
      </c>
      <c r="C95" s="268"/>
      <c r="D95" s="259"/>
      <c r="E95" s="259"/>
      <c r="F95" s="259"/>
      <c r="G95" s="153">
        <v>0</v>
      </c>
      <c r="H95" s="20"/>
      <c r="I95" s="20"/>
      <c r="J95" s="20"/>
      <c r="K95" s="20"/>
      <c r="L95" s="153">
        <v>0</v>
      </c>
      <c r="M95" s="152"/>
      <c r="N95" s="152"/>
      <c r="O95" s="152"/>
      <c r="P95" s="152"/>
      <c r="Q95" s="152"/>
      <c r="R95" s="152"/>
      <c r="S95" s="152"/>
      <c r="T95" s="20"/>
      <c r="U95" s="20"/>
      <c r="V95" s="259"/>
    </row>
    <row r="96" spans="1:22" ht="12.75">
      <c r="A96" s="275"/>
      <c r="B96" s="41" t="s">
        <v>32</v>
      </c>
      <c r="C96" s="268"/>
      <c r="D96" s="259"/>
      <c r="E96" s="259"/>
      <c r="F96" s="259"/>
      <c r="G96" s="153">
        <v>0</v>
      </c>
      <c r="H96" s="20"/>
      <c r="I96" s="20"/>
      <c r="J96" s="20"/>
      <c r="K96" s="20"/>
      <c r="L96" s="153">
        <v>0</v>
      </c>
      <c r="M96" s="152"/>
      <c r="N96" s="152"/>
      <c r="O96" s="152"/>
      <c r="P96" s="152"/>
      <c r="Q96" s="152"/>
      <c r="R96" s="152"/>
      <c r="S96" s="152"/>
      <c r="T96" s="20"/>
      <c r="U96" s="20"/>
      <c r="V96" s="259"/>
    </row>
    <row r="97" spans="1:22" ht="12.75">
      <c r="A97" s="275"/>
      <c r="B97" s="41" t="s">
        <v>33</v>
      </c>
      <c r="C97" s="268"/>
      <c r="D97" s="259"/>
      <c r="E97" s="259"/>
      <c r="F97" s="259"/>
      <c r="G97" s="153">
        <v>0</v>
      </c>
      <c r="H97" s="20"/>
      <c r="I97" s="20"/>
      <c r="J97" s="20"/>
      <c r="K97" s="20"/>
      <c r="L97" s="153">
        <v>0</v>
      </c>
      <c r="M97" s="152"/>
      <c r="N97" s="152"/>
      <c r="O97" s="152"/>
      <c r="P97" s="152"/>
      <c r="Q97" s="152"/>
      <c r="R97" s="152"/>
      <c r="S97" s="152"/>
      <c r="T97" s="20"/>
      <c r="U97" s="20"/>
      <c r="V97" s="259"/>
    </row>
    <row r="98" spans="1:22" ht="12.75">
      <c r="A98" s="275"/>
      <c r="B98" s="23" t="s">
        <v>37</v>
      </c>
      <c r="C98" s="268"/>
      <c r="D98" s="259"/>
      <c r="E98" s="259"/>
      <c r="F98" s="259"/>
      <c r="G98" s="152">
        <v>0</v>
      </c>
      <c r="H98" s="20"/>
      <c r="I98" s="20"/>
      <c r="J98" s="20"/>
      <c r="K98" s="20"/>
      <c r="L98" s="152">
        <v>0</v>
      </c>
      <c r="M98" s="152"/>
      <c r="N98" s="152"/>
      <c r="O98" s="152"/>
      <c r="P98" s="152"/>
      <c r="Q98" s="152"/>
      <c r="R98" s="152"/>
      <c r="S98" s="152"/>
      <c r="T98" s="20"/>
      <c r="U98" s="20"/>
      <c r="V98" s="259"/>
    </row>
    <row r="99" spans="1:22" ht="12.75">
      <c r="A99" s="276"/>
      <c r="B99" s="23" t="s">
        <v>38</v>
      </c>
      <c r="C99" s="269"/>
      <c r="D99" s="246"/>
      <c r="E99" s="246"/>
      <c r="F99" s="246"/>
      <c r="G99" s="152">
        <v>0</v>
      </c>
      <c r="H99" s="20"/>
      <c r="I99" s="20"/>
      <c r="J99" s="20"/>
      <c r="K99" s="20"/>
      <c r="L99" s="152">
        <v>0</v>
      </c>
      <c r="M99" s="152"/>
      <c r="N99" s="152"/>
      <c r="O99" s="152"/>
      <c r="P99" s="152"/>
      <c r="Q99" s="152"/>
      <c r="R99" s="152"/>
      <c r="S99" s="152"/>
      <c r="T99" s="20"/>
      <c r="U99" s="20"/>
      <c r="V99" s="246"/>
    </row>
    <row r="100" spans="1:22" ht="25.5" customHeight="1">
      <c r="A100" s="274" t="s">
        <v>67</v>
      </c>
      <c r="B100" s="19" t="s">
        <v>85</v>
      </c>
      <c r="C100" s="289" t="s">
        <v>43</v>
      </c>
      <c r="D100" s="286" t="s">
        <v>9</v>
      </c>
      <c r="E100" s="258">
        <v>1.1</v>
      </c>
      <c r="F100" s="283" t="s">
        <v>18</v>
      </c>
      <c r="G100" s="25">
        <f>G101+G103+G105+G109+G110</f>
        <v>131996.7</v>
      </c>
      <c r="H100" s="26"/>
      <c r="I100" s="26"/>
      <c r="J100" s="26"/>
      <c r="K100" s="26"/>
      <c r="L100" s="25">
        <f>L101+L103+L105+L109+L110</f>
        <v>13199.7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88"/>
    </row>
    <row r="101" spans="1:22" ht="12.75">
      <c r="A101" s="275"/>
      <c r="B101" s="22" t="s">
        <v>127</v>
      </c>
      <c r="C101" s="290"/>
      <c r="D101" s="287"/>
      <c r="E101" s="259"/>
      <c r="F101" s="284"/>
      <c r="G101" s="256">
        <v>131996.7</v>
      </c>
      <c r="H101" s="256"/>
      <c r="I101" s="27"/>
      <c r="J101" s="27"/>
      <c r="K101" s="27"/>
      <c r="L101" s="256">
        <v>13199.7</v>
      </c>
      <c r="M101" s="143"/>
      <c r="N101" s="143"/>
      <c r="O101" s="143"/>
      <c r="P101" s="143"/>
      <c r="Q101" s="143"/>
      <c r="R101" s="143"/>
      <c r="S101" s="143"/>
      <c r="T101" s="256">
        <v>13199.7</v>
      </c>
      <c r="U101" s="256">
        <v>118797</v>
      </c>
      <c r="V101" s="287"/>
    </row>
    <row r="102" spans="1:22" ht="12.75">
      <c r="A102" s="275"/>
      <c r="B102" s="68" t="s">
        <v>107</v>
      </c>
      <c r="C102" s="290"/>
      <c r="D102" s="287"/>
      <c r="E102" s="259"/>
      <c r="F102" s="284"/>
      <c r="G102" s="257"/>
      <c r="H102" s="273"/>
      <c r="I102" s="28"/>
      <c r="J102" s="28"/>
      <c r="K102" s="28"/>
      <c r="L102" s="257"/>
      <c r="M102" s="144"/>
      <c r="N102" s="144"/>
      <c r="O102" s="144"/>
      <c r="P102" s="144"/>
      <c r="Q102" s="144"/>
      <c r="R102" s="144"/>
      <c r="S102" s="144"/>
      <c r="T102" s="273"/>
      <c r="U102" s="273"/>
      <c r="V102" s="287"/>
    </row>
    <row r="103" spans="1:22" ht="12.75">
      <c r="A103" s="275"/>
      <c r="B103" s="23" t="s">
        <v>29</v>
      </c>
      <c r="C103" s="290"/>
      <c r="D103" s="287"/>
      <c r="E103" s="259"/>
      <c r="F103" s="284"/>
      <c r="G103" s="152">
        <v>0</v>
      </c>
      <c r="H103" s="28"/>
      <c r="I103" s="28"/>
      <c r="J103" s="28"/>
      <c r="K103" s="28"/>
      <c r="L103" s="152">
        <v>0</v>
      </c>
      <c r="M103" s="144"/>
      <c r="N103" s="144"/>
      <c r="O103" s="144"/>
      <c r="P103" s="144"/>
      <c r="Q103" s="144"/>
      <c r="R103" s="144"/>
      <c r="S103" s="144"/>
      <c r="T103" s="28"/>
      <c r="U103" s="28"/>
      <c r="V103" s="287"/>
    </row>
    <row r="104" spans="1:22" ht="12.75">
      <c r="A104" s="275"/>
      <c r="B104" s="44" t="s">
        <v>39</v>
      </c>
      <c r="C104" s="290"/>
      <c r="D104" s="287"/>
      <c r="E104" s="259"/>
      <c r="F104" s="284"/>
      <c r="G104" s="153">
        <v>0</v>
      </c>
      <c r="H104" s="28"/>
      <c r="I104" s="28"/>
      <c r="J104" s="28"/>
      <c r="K104" s="28"/>
      <c r="L104" s="153">
        <v>0</v>
      </c>
      <c r="M104" s="144"/>
      <c r="N104" s="144"/>
      <c r="O104" s="144"/>
      <c r="P104" s="144"/>
      <c r="Q104" s="144"/>
      <c r="R104" s="144"/>
      <c r="S104" s="144"/>
      <c r="T104" s="28"/>
      <c r="U104" s="28"/>
      <c r="V104" s="287"/>
    </row>
    <row r="105" spans="1:22" ht="12.75">
      <c r="A105" s="275"/>
      <c r="B105" s="23" t="s">
        <v>30</v>
      </c>
      <c r="C105" s="290"/>
      <c r="D105" s="287"/>
      <c r="E105" s="259"/>
      <c r="F105" s="284"/>
      <c r="G105" s="152">
        <v>0</v>
      </c>
      <c r="H105" s="28"/>
      <c r="I105" s="28"/>
      <c r="J105" s="28"/>
      <c r="K105" s="28"/>
      <c r="L105" s="152">
        <v>0</v>
      </c>
      <c r="M105" s="144"/>
      <c r="N105" s="144"/>
      <c r="O105" s="144"/>
      <c r="P105" s="144"/>
      <c r="Q105" s="144"/>
      <c r="R105" s="144"/>
      <c r="S105" s="144"/>
      <c r="T105" s="28"/>
      <c r="U105" s="28"/>
      <c r="V105" s="287"/>
    </row>
    <row r="106" spans="1:22" ht="12.75">
      <c r="A106" s="275"/>
      <c r="B106" s="44" t="s">
        <v>41</v>
      </c>
      <c r="C106" s="268"/>
      <c r="D106" s="259"/>
      <c r="E106" s="259"/>
      <c r="F106" s="285"/>
      <c r="G106" s="153">
        <v>0</v>
      </c>
      <c r="H106" s="20"/>
      <c r="I106" s="20"/>
      <c r="J106" s="20"/>
      <c r="K106" s="20"/>
      <c r="L106" s="153">
        <v>0</v>
      </c>
      <c r="M106" s="152"/>
      <c r="N106" s="152"/>
      <c r="O106" s="152"/>
      <c r="P106" s="152"/>
      <c r="Q106" s="152"/>
      <c r="R106" s="152"/>
      <c r="S106" s="152"/>
      <c r="T106" s="20"/>
      <c r="U106" s="20"/>
      <c r="V106" s="259"/>
    </row>
    <row r="107" spans="1:22" ht="12.75">
      <c r="A107" s="275"/>
      <c r="B107" s="41" t="s">
        <v>32</v>
      </c>
      <c r="C107" s="268"/>
      <c r="D107" s="259"/>
      <c r="E107" s="259"/>
      <c r="F107" s="285"/>
      <c r="G107" s="153">
        <v>0</v>
      </c>
      <c r="H107" s="20"/>
      <c r="I107" s="20"/>
      <c r="J107" s="20"/>
      <c r="K107" s="20"/>
      <c r="L107" s="153">
        <v>0</v>
      </c>
      <c r="M107" s="152"/>
      <c r="N107" s="152"/>
      <c r="O107" s="152"/>
      <c r="P107" s="152"/>
      <c r="Q107" s="152"/>
      <c r="R107" s="152"/>
      <c r="S107" s="152"/>
      <c r="T107" s="20"/>
      <c r="U107" s="20"/>
      <c r="V107" s="259"/>
    </row>
    <row r="108" spans="1:22" ht="12.75">
      <c r="A108" s="275"/>
      <c r="B108" s="41" t="s">
        <v>33</v>
      </c>
      <c r="C108" s="268"/>
      <c r="D108" s="259"/>
      <c r="E108" s="259"/>
      <c r="F108" s="285"/>
      <c r="G108" s="153">
        <v>0</v>
      </c>
      <c r="H108" s="20"/>
      <c r="I108" s="20"/>
      <c r="J108" s="20"/>
      <c r="K108" s="20"/>
      <c r="L108" s="153">
        <v>0</v>
      </c>
      <c r="M108" s="152"/>
      <c r="N108" s="152"/>
      <c r="O108" s="152"/>
      <c r="P108" s="152"/>
      <c r="Q108" s="152"/>
      <c r="R108" s="152"/>
      <c r="S108" s="152"/>
      <c r="T108" s="20"/>
      <c r="U108" s="20"/>
      <c r="V108" s="259"/>
    </row>
    <row r="109" spans="1:22" ht="12.75">
      <c r="A109" s="275"/>
      <c r="B109" s="23" t="s">
        <v>37</v>
      </c>
      <c r="C109" s="268"/>
      <c r="D109" s="259"/>
      <c r="E109" s="259"/>
      <c r="F109" s="285"/>
      <c r="G109" s="152">
        <v>0</v>
      </c>
      <c r="H109" s="20"/>
      <c r="I109" s="20"/>
      <c r="J109" s="20"/>
      <c r="K109" s="20"/>
      <c r="L109" s="152">
        <v>0</v>
      </c>
      <c r="M109" s="152"/>
      <c r="N109" s="152"/>
      <c r="O109" s="152"/>
      <c r="P109" s="152"/>
      <c r="Q109" s="152"/>
      <c r="R109" s="152"/>
      <c r="S109" s="152"/>
      <c r="T109" s="20"/>
      <c r="U109" s="20"/>
      <c r="V109" s="259"/>
    </row>
    <row r="110" spans="1:22" ht="12.75">
      <c r="A110" s="276"/>
      <c r="B110" s="23" t="s">
        <v>38</v>
      </c>
      <c r="C110" s="269"/>
      <c r="D110" s="246"/>
      <c r="E110" s="246"/>
      <c r="F110" s="257"/>
      <c r="G110" s="152">
        <v>0</v>
      </c>
      <c r="H110" s="20"/>
      <c r="I110" s="20"/>
      <c r="J110" s="20"/>
      <c r="K110" s="20"/>
      <c r="L110" s="152">
        <v>0</v>
      </c>
      <c r="M110" s="152"/>
      <c r="N110" s="152"/>
      <c r="O110" s="152"/>
      <c r="P110" s="152"/>
      <c r="Q110" s="152"/>
      <c r="R110" s="152"/>
      <c r="S110" s="152"/>
      <c r="T110" s="20"/>
      <c r="U110" s="20"/>
      <c r="V110" s="246"/>
    </row>
    <row r="111" spans="1:22" ht="27" customHeight="1">
      <c r="A111" s="274" t="s">
        <v>68</v>
      </c>
      <c r="B111" s="16" t="s">
        <v>95</v>
      </c>
      <c r="C111" s="289" t="s">
        <v>43</v>
      </c>
      <c r="D111" s="286" t="s">
        <v>9</v>
      </c>
      <c r="E111" s="258">
        <v>8.5</v>
      </c>
      <c r="F111" s="283" t="s">
        <v>18</v>
      </c>
      <c r="G111" s="25">
        <f>G112+G114+G116+G120+G121</f>
        <v>174813.6</v>
      </c>
      <c r="H111" s="26"/>
      <c r="I111" s="26"/>
      <c r="J111" s="26"/>
      <c r="K111" s="26"/>
      <c r="L111" s="25">
        <f>L112+L114+L116+L120+L121</f>
        <v>10678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88"/>
    </row>
    <row r="112" spans="1:22" ht="12.75">
      <c r="A112" s="275"/>
      <c r="B112" s="22" t="s">
        <v>126</v>
      </c>
      <c r="C112" s="290"/>
      <c r="D112" s="287"/>
      <c r="E112" s="259"/>
      <c r="F112" s="284"/>
      <c r="G112" s="256">
        <v>174813.6</v>
      </c>
      <c r="H112" s="256"/>
      <c r="I112" s="27"/>
      <c r="J112" s="27"/>
      <c r="K112" s="27"/>
      <c r="L112" s="256">
        <v>10678</v>
      </c>
      <c r="M112" s="143"/>
      <c r="N112" s="143"/>
      <c r="O112" s="143"/>
      <c r="P112" s="143"/>
      <c r="Q112" s="143"/>
      <c r="R112" s="143"/>
      <c r="S112" s="143"/>
      <c r="T112" s="256">
        <v>10678</v>
      </c>
      <c r="U112" s="256">
        <v>164135.6</v>
      </c>
      <c r="V112" s="287"/>
    </row>
    <row r="113" spans="1:22" ht="12.75">
      <c r="A113" s="275"/>
      <c r="B113" s="68" t="s">
        <v>107</v>
      </c>
      <c r="C113" s="290"/>
      <c r="D113" s="287"/>
      <c r="E113" s="259"/>
      <c r="F113" s="284"/>
      <c r="G113" s="257"/>
      <c r="H113" s="273"/>
      <c r="I113" s="28"/>
      <c r="J113" s="28"/>
      <c r="K113" s="28"/>
      <c r="L113" s="257"/>
      <c r="M113" s="144"/>
      <c r="N113" s="144"/>
      <c r="O113" s="144"/>
      <c r="P113" s="144"/>
      <c r="Q113" s="144"/>
      <c r="R113" s="144"/>
      <c r="S113" s="144"/>
      <c r="T113" s="273"/>
      <c r="U113" s="273"/>
      <c r="V113" s="287"/>
    </row>
    <row r="114" spans="1:22" ht="12.75">
      <c r="A114" s="275"/>
      <c r="B114" s="23" t="s">
        <v>29</v>
      </c>
      <c r="C114" s="290"/>
      <c r="D114" s="287"/>
      <c r="E114" s="259"/>
      <c r="F114" s="284"/>
      <c r="G114" s="152">
        <v>0</v>
      </c>
      <c r="H114" s="28"/>
      <c r="I114" s="28"/>
      <c r="J114" s="28"/>
      <c r="K114" s="28"/>
      <c r="L114" s="152">
        <v>0</v>
      </c>
      <c r="M114" s="144"/>
      <c r="N114" s="144"/>
      <c r="O114" s="144"/>
      <c r="P114" s="144"/>
      <c r="Q114" s="144"/>
      <c r="R114" s="144"/>
      <c r="S114" s="144"/>
      <c r="T114" s="28"/>
      <c r="U114" s="28"/>
      <c r="V114" s="287"/>
    </row>
    <row r="115" spans="1:22" ht="12.75">
      <c r="A115" s="275"/>
      <c r="B115" s="44" t="s">
        <v>39</v>
      </c>
      <c r="C115" s="290"/>
      <c r="D115" s="287"/>
      <c r="E115" s="259"/>
      <c r="F115" s="284"/>
      <c r="G115" s="153">
        <v>0</v>
      </c>
      <c r="H115" s="28"/>
      <c r="I115" s="28"/>
      <c r="J115" s="28"/>
      <c r="K115" s="28"/>
      <c r="L115" s="153">
        <v>0</v>
      </c>
      <c r="M115" s="144"/>
      <c r="N115" s="144"/>
      <c r="O115" s="144"/>
      <c r="P115" s="144"/>
      <c r="Q115" s="144"/>
      <c r="R115" s="144"/>
      <c r="S115" s="144"/>
      <c r="T115" s="28"/>
      <c r="U115" s="28"/>
      <c r="V115" s="287"/>
    </row>
    <row r="116" spans="1:22" ht="12.75">
      <c r="A116" s="275"/>
      <c r="B116" s="23" t="s">
        <v>30</v>
      </c>
      <c r="C116" s="290"/>
      <c r="D116" s="287"/>
      <c r="E116" s="259"/>
      <c r="F116" s="284"/>
      <c r="G116" s="152">
        <v>0</v>
      </c>
      <c r="H116" s="28"/>
      <c r="I116" s="28"/>
      <c r="J116" s="28"/>
      <c r="K116" s="28"/>
      <c r="L116" s="152">
        <v>0</v>
      </c>
      <c r="M116" s="144"/>
      <c r="N116" s="144"/>
      <c r="O116" s="144"/>
      <c r="P116" s="144"/>
      <c r="Q116" s="144"/>
      <c r="R116" s="144"/>
      <c r="S116" s="144"/>
      <c r="T116" s="28"/>
      <c r="U116" s="28"/>
      <c r="V116" s="287"/>
    </row>
    <row r="117" spans="1:22" ht="12.75">
      <c r="A117" s="275"/>
      <c r="B117" s="44" t="s">
        <v>41</v>
      </c>
      <c r="C117" s="268"/>
      <c r="D117" s="259"/>
      <c r="E117" s="259"/>
      <c r="F117" s="285"/>
      <c r="G117" s="153">
        <v>0</v>
      </c>
      <c r="H117" s="20"/>
      <c r="I117" s="20"/>
      <c r="J117" s="20"/>
      <c r="K117" s="20"/>
      <c r="L117" s="153">
        <v>0</v>
      </c>
      <c r="M117" s="152"/>
      <c r="N117" s="152"/>
      <c r="O117" s="152"/>
      <c r="P117" s="152"/>
      <c r="Q117" s="152"/>
      <c r="R117" s="152"/>
      <c r="S117" s="152"/>
      <c r="T117" s="20"/>
      <c r="U117" s="20"/>
      <c r="V117" s="259"/>
    </row>
    <row r="118" spans="1:22" ht="12.75">
      <c r="A118" s="275"/>
      <c r="B118" s="41" t="s">
        <v>32</v>
      </c>
      <c r="C118" s="268"/>
      <c r="D118" s="259"/>
      <c r="E118" s="259"/>
      <c r="F118" s="285"/>
      <c r="G118" s="153">
        <v>0</v>
      </c>
      <c r="H118" s="20"/>
      <c r="I118" s="20"/>
      <c r="J118" s="20"/>
      <c r="K118" s="20"/>
      <c r="L118" s="153">
        <v>0</v>
      </c>
      <c r="M118" s="152"/>
      <c r="N118" s="152"/>
      <c r="O118" s="152"/>
      <c r="P118" s="152"/>
      <c r="Q118" s="152"/>
      <c r="R118" s="152"/>
      <c r="S118" s="152"/>
      <c r="T118" s="20"/>
      <c r="U118" s="20"/>
      <c r="V118" s="259"/>
    </row>
    <row r="119" spans="1:22" ht="12.75">
      <c r="A119" s="275"/>
      <c r="B119" s="41" t="s">
        <v>33</v>
      </c>
      <c r="C119" s="268"/>
      <c r="D119" s="259"/>
      <c r="E119" s="259"/>
      <c r="F119" s="285"/>
      <c r="G119" s="153">
        <v>0</v>
      </c>
      <c r="H119" s="20"/>
      <c r="I119" s="20"/>
      <c r="J119" s="20"/>
      <c r="K119" s="20"/>
      <c r="L119" s="153">
        <v>0</v>
      </c>
      <c r="M119" s="152"/>
      <c r="N119" s="152"/>
      <c r="O119" s="152"/>
      <c r="P119" s="152"/>
      <c r="Q119" s="152"/>
      <c r="R119" s="152"/>
      <c r="S119" s="152"/>
      <c r="T119" s="20"/>
      <c r="U119" s="20"/>
      <c r="V119" s="259"/>
    </row>
    <row r="120" spans="1:22" ht="12.75">
      <c r="A120" s="275"/>
      <c r="B120" s="23" t="s">
        <v>37</v>
      </c>
      <c r="C120" s="268"/>
      <c r="D120" s="259"/>
      <c r="E120" s="259"/>
      <c r="F120" s="285"/>
      <c r="G120" s="152">
        <v>0</v>
      </c>
      <c r="H120" s="20"/>
      <c r="I120" s="20"/>
      <c r="J120" s="20"/>
      <c r="K120" s="20"/>
      <c r="L120" s="152">
        <v>0</v>
      </c>
      <c r="M120" s="152"/>
      <c r="N120" s="152"/>
      <c r="O120" s="152"/>
      <c r="P120" s="152"/>
      <c r="Q120" s="152"/>
      <c r="R120" s="152"/>
      <c r="S120" s="152"/>
      <c r="T120" s="20"/>
      <c r="U120" s="20"/>
      <c r="V120" s="259"/>
    </row>
    <row r="121" spans="1:22" ht="12.75">
      <c r="A121" s="276"/>
      <c r="B121" s="23" t="s">
        <v>38</v>
      </c>
      <c r="C121" s="269"/>
      <c r="D121" s="246"/>
      <c r="E121" s="246"/>
      <c r="F121" s="257"/>
      <c r="G121" s="152">
        <v>0</v>
      </c>
      <c r="H121" s="20"/>
      <c r="I121" s="20"/>
      <c r="J121" s="20"/>
      <c r="K121" s="20"/>
      <c r="L121" s="152">
        <v>0</v>
      </c>
      <c r="M121" s="152"/>
      <c r="N121" s="152"/>
      <c r="O121" s="152"/>
      <c r="P121" s="152"/>
      <c r="Q121" s="152"/>
      <c r="R121" s="152"/>
      <c r="S121" s="152"/>
      <c r="T121" s="20"/>
      <c r="U121" s="20"/>
      <c r="V121" s="246"/>
    </row>
    <row r="122" spans="1:22" ht="12.75" hidden="1">
      <c r="A122" s="274" t="s">
        <v>86</v>
      </c>
      <c r="B122" s="16"/>
      <c r="C122" s="289" t="s">
        <v>43</v>
      </c>
      <c r="D122" s="286" t="s">
        <v>9</v>
      </c>
      <c r="E122" s="258"/>
      <c r="F122" s="283"/>
      <c r="G122" s="25">
        <f>G123+G125+G127+G131+G132</f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8"/>
    </row>
    <row r="123" spans="1:22" ht="12.75" hidden="1">
      <c r="A123" s="275"/>
      <c r="B123" s="22" t="s">
        <v>127</v>
      </c>
      <c r="C123" s="290"/>
      <c r="D123" s="287"/>
      <c r="E123" s="259"/>
      <c r="F123" s="284"/>
      <c r="G123" s="256">
        <f>SUM(H123:U123)</f>
        <v>0</v>
      </c>
      <c r="H123" s="256"/>
      <c r="I123" s="27"/>
      <c r="J123" s="27"/>
      <c r="K123" s="27"/>
      <c r="L123" s="143"/>
      <c r="M123" s="143"/>
      <c r="N123" s="143"/>
      <c r="O123" s="143"/>
      <c r="P123" s="143"/>
      <c r="Q123" s="143"/>
      <c r="R123" s="143"/>
      <c r="S123" s="143"/>
      <c r="T123" s="256"/>
      <c r="U123" s="256"/>
      <c r="V123" s="287"/>
    </row>
    <row r="124" spans="1:22" ht="12.75" hidden="1">
      <c r="A124" s="275"/>
      <c r="B124" s="68" t="s">
        <v>107</v>
      </c>
      <c r="C124" s="290"/>
      <c r="D124" s="287"/>
      <c r="E124" s="259"/>
      <c r="F124" s="284"/>
      <c r="G124" s="257"/>
      <c r="H124" s="273"/>
      <c r="I124" s="28"/>
      <c r="J124" s="28"/>
      <c r="K124" s="28"/>
      <c r="L124" s="144"/>
      <c r="M124" s="144"/>
      <c r="N124" s="144"/>
      <c r="O124" s="144"/>
      <c r="P124" s="144"/>
      <c r="Q124" s="144"/>
      <c r="R124" s="144"/>
      <c r="S124" s="144"/>
      <c r="T124" s="273"/>
      <c r="U124" s="273"/>
      <c r="V124" s="287"/>
    </row>
    <row r="125" spans="1:22" ht="12.75" hidden="1">
      <c r="A125" s="275"/>
      <c r="B125" s="23" t="s">
        <v>29</v>
      </c>
      <c r="C125" s="290"/>
      <c r="D125" s="287"/>
      <c r="E125" s="259"/>
      <c r="F125" s="284"/>
      <c r="G125" s="20">
        <f>SUM(G126)</f>
        <v>0</v>
      </c>
      <c r="H125" s="28"/>
      <c r="I125" s="28"/>
      <c r="J125" s="28"/>
      <c r="K125" s="28"/>
      <c r="L125" s="144"/>
      <c r="M125" s="144"/>
      <c r="N125" s="144"/>
      <c r="O125" s="144"/>
      <c r="P125" s="144"/>
      <c r="Q125" s="144"/>
      <c r="R125" s="144"/>
      <c r="S125" s="144"/>
      <c r="T125" s="28"/>
      <c r="U125" s="28"/>
      <c r="V125" s="287"/>
    </row>
    <row r="126" spans="1:22" ht="12.75" hidden="1">
      <c r="A126" s="275"/>
      <c r="B126" s="44" t="s">
        <v>39</v>
      </c>
      <c r="C126" s="290"/>
      <c r="D126" s="287"/>
      <c r="E126" s="259"/>
      <c r="F126" s="284"/>
      <c r="G126" s="48">
        <f>SUM(H126:U126)</f>
        <v>0</v>
      </c>
      <c r="H126" s="28"/>
      <c r="I126" s="28"/>
      <c r="J126" s="28"/>
      <c r="K126" s="28"/>
      <c r="L126" s="144"/>
      <c r="M126" s="144"/>
      <c r="N126" s="144"/>
      <c r="O126" s="144"/>
      <c r="P126" s="144"/>
      <c r="Q126" s="144"/>
      <c r="R126" s="144"/>
      <c r="S126" s="144"/>
      <c r="T126" s="28"/>
      <c r="U126" s="28"/>
      <c r="V126" s="287"/>
    </row>
    <row r="127" spans="1:22" ht="12.75" hidden="1">
      <c r="A127" s="275"/>
      <c r="B127" s="23" t="s">
        <v>30</v>
      </c>
      <c r="C127" s="290"/>
      <c r="D127" s="287"/>
      <c r="E127" s="259"/>
      <c r="F127" s="284"/>
      <c r="G127" s="20">
        <f>SUM(G128:G130)</f>
        <v>0</v>
      </c>
      <c r="H127" s="28"/>
      <c r="I127" s="28"/>
      <c r="J127" s="28"/>
      <c r="K127" s="28"/>
      <c r="L127" s="144"/>
      <c r="M127" s="144"/>
      <c r="N127" s="144"/>
      <c r="O127" s="144"/>
      <c r="P127" s="144"/>
      <c r="Q127" s="144"/>
      <c r="R127" s="144"/>
      <c r="S127" s="144"/>
      <c r="T127" s="28"/>
      <c r="U127" s="28"/>
      <c r="V127" s="287"/>
    </row>
    <row r="128" spans="1:22" ht="12.75" hidden="1">
      <c r="A128" s="275"/>
      <c r="B128" s="44" t="s">
        <v>41</v>
      </c>
      <c r="C128" s="268"/>
      <c r="D128" s="259"/>
      <c r="E128" s="259"/>
      <c r="F128" s="285"/>
      <c r="G128" s="48">
        <f>SUM(H128:U128)</f>
        <v>0</v>
      </c>
      <c r="H128" s="20"/>
      <c r="I128" s="20"/>
      <c r="J128" s="20"/>
      <c r="K128" s="20"/>
      <c r="L128" s="152"/>
      <c r="M128" s="152"/>
      <c r="N128" s="152"/>
      <c r="O128" s="152"/>
      <c r="P128" s="152"/>
      <c r="Q128" s="152"/>
      <c r="R128" s="152"/>
      <c r="S128" s="152"/>
      <c r="T128" s="20"/>
      <c r="U128" s="20"/>
      <c r="V128" s="259"/>
    </row>
    <row r="129" spans="1:22" ht="12.75" hidden="1">
      <c r="A129" s="275"/>
      <c r="B129" s="41" t="s">
        <v>32</v>
      </c>
      <c r="C129" s="268"/>
      <c r="D129" s="259"/>
      <c r="E129" s="259"/>
      <c r="F129" s="285"/>
      <c r="G129" s="48">
        <f>SUM(H129:U129)</f>
        <v>0</v>
      </c>
      <c r="H129" s="20"/>
      <c r="I129" s="20"/>
      <c r="J129" s="20"/>
      <c r="K129" s="20"/>
      <c r="L129" s="152"/>
      <c r="M129" s="152"/>
      <c r="N129" s="152"/>
      <c r="O129" s="152"/>
      <c r="P129" s="152"/>
      <c r="Q129" s="152"/>
      <c r="R129" s="152"/>
      <c r="S129" s="152"/>
      <c r="T129" s="20"/>
      <c r="U129" s="20"/>
      <c r="V129" s="259"/>
    </row>
    <row r="130" spans="1:22" ht="12.75" hidden="1">
      <c r="A130" s="275"/>
      <c r="B130" s="41" t="s">
        <v>33</v>
      </c>
      <c r="C130" s="268"/>
      <c r="D130" s="259"/>
      <c r="E130" s="259"/>
      <c r="F130" s="285"/>
      <c r="G130" s="48">
        <f>SUM(H130:U130)</f>
        <v>0</v>
      </c>
      <c r="H130" s="20"/>
      <c r="I130" s="20"/>
      <c r="J130" s="20"/>
      <c r="K130" s="20"/>
      <c r="L130" s="152"/>
      <c r="M130" s="152"/>
      <c r="N130" s="152"/>
      <c r="O130" s="152"/>
      <c r="P130" s="152"/>
      <c r="Q130" s="152"/>
      <c r="R130" s="152"/>
      <c r="S130" s="152"/>
      <c r="T130" s="20"/>
      <c r="U130" s="20"/>
      <c r="V130" s="259"/>
    </row>
    <row r="131" spans="1:22" ht="12.75" hidden="1">
      <c r="A131" s="275"/>
      <c r="B131" s="23" t="s">
        <v>37</v>
      </c>
      <c r="C131" s="268"/>
      <c r="D131" s="259"/>
      <c r="E131" s="259"/>
      <c r="F131" s="285"/>
      <c r="G131" s="20">
        <f>SUM(H131:U131)</f>
        <v>0</v>
      </c>
      <c r="H131" s="20"/>
      <c r="I131" s="20"/>
      <c r="J131" s="20"/>
      <c r="K131" s="20"/>
      <c r="L131" s="152"/>
      <c r="M131" s="152"/>
      <c r="N131" s="152"/>
      <c r="O131" s="152"/>
      <c r="P131" s="152"/>
      <c r="Q131" s="152"/>
      <c r="R131" s="152"/>
      <c r="S131" s="152"/>
      <c r="T131" s="20"/>
      <c r="U131" s="20"/>
      <c r="V131" s="259"/>
    </row>
    <row r="132" spans="1:22" ht="12.75" hidden="1">
      <c r="A132" s="276"/>
      <c r="B132" s="23" t="s">
        <v>38</v>
      </c>
      <c r="C132" s="269"/>
      <c r="D132" s="246"/>
      <c r="E132" s="246"/>
      <c r="F132" s="257"/>
      <c r="G132" s="20">
        <f>SUM(H132:U132)</f>
        <v>0</v>
      </c>
      <c r="H132" s="20"/>
      <c r="I132" s="20"/>
      <c r="J132" s="20"/>
      <c r="K132" s="20"/>
      <c r="L132" s="152"/>
      <c r="M132" s="152"/>
      <c r="N132" s="152"/>
      <c r="O132" s="152"/>
      <c r="P132" s="152"/>
      <c r="Q132" s="152"/>
      <c r="R132" s="152"/>
      <c r="S132" s="152"/>
      <c r="T132" s="20"/>
      <c r="U132" s="20"/>
      <c r="V132" s="246"/>
    </row>
    <row r="133" spans="1:22" ht="38.25">
      <c r="A133" s="274" t="s">
        <v>86</v>
      </c>
      <c r="B133" s="16" t="s">
        <v>26</v>
      </c>
      <c r="C133" s="289" t="s">
        <v>43</v>
      </c>
      <c r="D133" s="286" t="s">
        <v>6</v>
      </c>
      <c r="E133" s="258">
        <v>60</v>
      </c>
      <c r="F133" s="283" t="s">
        <v>17</v>
      </c>
      <c r="G133" s="25">
        <f>G134+G136+G138+G142+G143</f>
        <v>4829.5</v>
      </c>
      <c r="H133" s="26"/>
      <c r="I133" s="26"/>
      <c r="J133" s="26"/>
      <c r="K133" s="26"/>
      <c r="L133" s="25">
        <f>L134+L136+L138+L142+L143</f>
        <v>4829.5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63"/>
    </row>
    <row r="134" spans="1:22" ht="12.75">
      <c r="A134" s="275"/>
      <c r="B134" s="22" t="s">
        <v>127</v>
      </c>
      <c r="C134" s="290"/>
      <c r="D134" s="287"/>
      <c r="E134" s="259"/>
      <c r="F134" s="284"/>
      <c r="G134" s="256">
        <v>4829.5</v>
      </c>
      <c r="H134" s="256"/>
      <c r="I134" s="27"/>
      <c r="J134" s="27"/>
      <c r="K134" s="27"/>
      <c r="L134" s="256">
        <v>4829.5</v>
      </c>
      <c r="M134" s="143"/>
      <c r="N134" s="143"/>
      <c r="O134" s="143"/>
      <c r="P134" s="143"/>
      <c r="Q134" s="143"/>
      <c r="R134" s="143"/>
      <c r="S134" s="143"/>
      <c r="T134" s="256">
        <v>4829.5</v>
      </c>
      <c r="U134" s="256"/>
      <c r="V134" s="63"/>
    </row>
    <row r="135" spans="1:22" ht="12.75">
      <c r="A135" s="275"/>
      <c r="B135" s="68" t="s">
        <v>107</v>
      </c>
      <c r="C135" s="290"/>
      <c r="D135" s="287"/>
      <c r="E135" s="259"/>
      <c r="F135" s="284"/>
      <c r="G135" s="257"/>
      <c r="H135" s="273"/>
      <c r="I135" s="28"/>
      <c r="J135" s="28"/>
      <c r="K135" s="28"/>
      <c r="L135" s="257"/>
      <c r="M135" s="144"/>
      <c r="N135" s="144"/>
      <c r="O135" s="144"/>
      <c r="P135" s="144"/>
      <c r="Q135" s="144"/>
      <c r="R135" s="144"/>
      <c r="S135" s="144"/>
      <c r="T135" s="273"/>
      <c r="U135" s="273"/>
      <c r="V135" s="63"/>
    </row>
    <row r="136" spans="1:22" ht="12.75">
      <c r="A136" s="259"/>
      <c r="B136" s="23" t="s">
        <v>29</v>
      </c>
      <c r="C136" s="290"/>
      <c r="D136" s="287"/>
      <c r="E136" s="259"/>
      <c r="F136" s="284"/>
      <c r="G136" s="152">
        <v>0</v>
      </c>
      <c r="H136" s="28"/>
      <c r="I136" s="28"/>
      <c r="J136" s="28"/>
      <c r="K136" s="28"/>
      <c r="L136" s="152">
        <v>0</v>
      </c>
      <c r="M136" s="144"/>
      <c r="N136" s="144"/>
      <c r="O136" s="144"/>
      <c r="P136" s="144"/>
      <c r="Q136" s="144"/>
      <c r="R136" s="144"/>
      <c r="S136" s="144"/>
      <c r="T136" s="28"/>
      <c r="U136" s="28"/>
      <c r="V136" s="63"/>
    </row>
    <row r="137" spans="1:22" ht="12.75">
      <c r="A137" s="275"/>
      <c r="B137" s="44" t="s">
        <v>39</v>
      </c>
      <c r="C137" s="290"/>
      <c r="D137" s="287"/>
      <c r="E137" s="259"/>
      <c r="F137" s="284"/>
      <c r="G137" s="153">
        <v>0</v>
      </c>
      <c r="H137" s="28"/>
      <c r="I137" s="28"/>
      <c r="J137" s="28"/>
      <c r="K137" s="28"/>
      <c r="L137" s="153">
        <v>0</v>
      </c>
      <c r="M137" s="144"/>
      <c r="N137" s="144"/>
      <c r="O137" s="144"/>
      <c r="P137" s="144"/>
      <c r="Q137" s="144"/>
      <c r="R137" s="144"/>
      <c r="S137" s="144"/>
      <c r="T137" s="28"/>
      <c r="U137" s="28"/>
      <c r="V137" s="63"/>
    </row>
    <row r="138" spans="1:22" ht="12.75">
      <c r="A138" s="275"/>
      <c r="B138" s="23" t="s">
        <v>30</v>
      </c>
      <c r="C138" s="290"/>
      <c r="D138" s="287"/>
      <c r="E138" s="259"/>
      <c r="F138" s="284"/>
      <c r="G138" s="152">
        <v>0</v>
      </c>
      <c r="H138" s="28"/>
      <c r="I138" s="28"/>
      <c r="J138" s="28"/>
      <c r="K138" s="28"/>
      <c r="L138" s="152">
        <v>0</v>
      </c>
      <c r="M138" s="144"/>
      <c r="N138" s="144"/>
      <c r="O138" s="144"/>
      <c r="P138" s="144"/>
      <c r="Q138" s="144"/>
      <c r="R138" s="144"/>
      <c r="S138" s="144"/>
      <c r="T138" s="28"/>
      <c r="U138" s="28"/>
      <c r="V138" s="63"/>
    </row>
    <row r="139" spans="1:22" ht="12.75">
      <c r="A139" s="275"/>
      <c r="B139" s="44" t="s">
        <v>41</v>
      </c>
      <c r="C139" s="268"/>
      <c r="D139" s="259"/>
      <c r="E139" s="259"/>
      <c r="F139" s="285"/>
      <c r="G139" s="153">
        <v>0</v>
      </c>
      <c r="H139" s="20"/>
      <c r="I139" s="20"/>
      <c r="J139" s="20"/>
      <c r="K139" s="20"/>
      <c r="L139" s="153">
        <v>0</v>
      </c>
      <c r="M139" s="152"/>
      <c r="N139" s="152"/>
      <c r="O139" s="152"/>
      <c r="P139" s="152"/>
      <c r="Q139" s="152"/>
      <c r="R139" s="152"/>
      <c r="S139" s="152"/>
      <c r="T139" s="20"/>
      <c r="U139" s="20"/>
      <c r="V139" s="63"/>
    </row>
    <row r="140" spans="1:22" ht="12.75">
      <c r="A140" s="275"/>
      <c r="B140" s="41" t="s">
        <v>32</v>
      </c>
      <c r="C140" s="268"/>
      <c r="D140" s="259"/>
      <c r="E140" s="259"/>
      <c r="F140" s="285"/>
      <c r="G140" s="153">
        <v>0</v>
      </c>
      <c r="H140" s="20"/>
      <c r="I140" s="20"/>
      <c r="J140" s="20"/>
      <c r="K140" s="20"/>
      <c r="L140" s="153">
        <v>0</v>
      </c>
      <c r="M140" s="152"/>
      <c r="N140" s="152"/>
      <c r="O140" s="152"/>
      <c r="P140" s="152"/>
      <c r="Q140" s="152"/>
      <c r="R140" s="152"/>
      <c r="S140" s="152"/>
      <c r="T140" s="20"/>
      <c r="U140" s="20"/>
      <c r="V140" s="63"/>
    </row>
    <row r="141" spans="1:22" ht="12.75">
      <c r="A141" s="275"/>
      <c r="B141" s="41" t="s">
        <v>33</v>
      </c>
      <c r="C141" s="268"/>
      <c r="D141" s="259"/>
      <c r="E141" s="259"/>
      <c r="F141" s="285"/>
      <c r="G141" s="153">
        <v>0</v>
      </c>
      <c r="H141" s="20"/>
      <c r="I141" s="20"/>
      <c r="J141" s="20"/>
      <c r="K141" s="20"/>
      <c r="L141" s="153">
        <v>0</v>
      </c>
      <c r="M141" s="152"/>
      <c r="N141" s="152"/>
      <c r="O141" s="152"/>
      <c r="P141" s="152"/>
      <c r="Q141" s="152"/>
      <c r="R141" s="152"/>
      <c r="S141" s="152"/>
      <c r="T141" s="20"/>
      <c r="U141" s="20"/>
      <c r="V141" s="63"/>
    </row>
    <row r="142" spans="1:22" ht="12.75">
      <c r="A142" s="275"/>
      <c r="B142" s="23" t="s">
        <v>37</v>
      </c>
      <c r="C142" s="268"/>
      <c r="D142" s="259"/>
      <c r="E142" s="259"/>
      <c r="F142" s="285"/>
      <c r="G142" s="152">
        <v>0</v>
      </c>
      <c r="H142" s="20"/>
      <c r="I142" s="20"/>
      <c r="J142" s="20"/>
      <c r="K142" s="20"/>
      <c r="L142" s="152">
        <v>0</v>
      </c>
      <c r="M142" s="152"/>
      <c r="N142" s="152"/>
      <c r="O142" s="152"/>
      <c r="P142" s="152"/>
      <c r="Q142" s="152"/>
      <c r="R142" s="152"/>
      <c r="S142" s="152"/>
      <c r="T142" s="20"/>
      <c r="U142" s="20"/>
      <c r="V142" s="63"/>
    </row>
    <row r="143" spans="1:22" ht="12.75">
      <c r="A143" s="276"/>
      <c r="B143" s="23" t="s">
        <v>38</v>
      </c>
      <c r="C143" s="269"/>
      <c r="D143" s="246"/>
      <c r="E143" s="246"/>
      <c r="F143" s="257"/>
      <c r="G143" s="152">
        <v>0</v>
      </c>
      <c r="H143" s="20"/>
      <c r="I143" s="20"/>
      <c r="J143" s="20"/>
      <c r="K143" s="20"/>
      <c r="L143" s="152">
        <v>0</v>
      </c>
      <c r="M143" s="152"/>
      <c r="N143" s="152"/>
      <c r="O143" s="152"/>
      <c r="P143" s="152"/>
      <c r="Q143" s="152"/>
      <c r="R143" s="152"/>
      <c r="S143" s="152"/>
      <c r="T143" s="20"/>
      <c r="U143" s="20"/>
      <c r="V143" s="63"/>
    </row>
    <row r="144" spans="1:22" ht="15" customHeight="1">
      <c r="A144" s="333"/>
      <c r="B144" s="17" t="s">
        <v>15</v>
      </c>
      <c r="C144" s="291"/>
      <c r="D144" s="314">
        <f>G100+G89+G78</f>
        <v>160925.30000000002</v>
      </c>
      <c r="E144" s="279">
        <f>G101+G90+G79+G112+G123+G134</f>
        <v>340568.4</v>
      </c>
      <c r="F144" s="296"/>
      <c r="G144" s="25">
        <f>G145+G147+G149+G153+G156</f>
        <v>326104.1</v>
      </c>
      <c r="H144" s="25">
        <f>H145+H147+H149+H153+H156</f>
        <v>0</v>
      </c>
      <c r="I144" s="25">
        <f>I145+I147+I149+I153+I156</f>
        <v>0</v>
      </c>
      <c r="J144" s="25">
        <f>J145+J147+J149+J153+J156</f>
        <v>0</v>
      </c>
      <c r="K144" s="25">
        <f>K145+K147+K149+K153+K156</f>
        <v>0</v>
      </c>
      <c r="L144" s="25">
        <f>L145+L147+L149+L153+L156</f>
        <v>43171.5</v>
      </c>
      <c r="M144" s="25"/>
      <c r="N144" s="25"/>
      <c r="O144" s="25"/>
      <c r="P144" s="25"/>
      <c r="Q144" s="25"/>
      <c r="R144" s="25"/>
      <c r="S144" s="25"/>
      <c r="T144" s="25">
        <f>T145+T147+T149+T153+T156</f>
        <v>43171.5</v>
      </c>
      <c r="U144" s="25">
        <f>U145+U147+U149+U153+U156</f>
        <v>282932.6</v>
      </c>
      <c r="V144" s="310">
        <f>SUM(H149:U149)</f>
        <v>0</v>
      </c>
    </row>
    <row r="145" spans="1:23" ht="12.75" customHeight="1">
      <c r="A145" s="334"/>
      <c r="B145" s="22" t="s">
        <v>127</v>
      </c>
      <c r="C145" s="292"/>
      <c r="D145" s="281"/>
      <c r="E145" s="280"/>
      <c r="F145" s="297"/>
      <c r="G145" s="256">
        <f>H145+T145+U145</f>
        <v>326104.1</v>
      </c>
      <c r="H145" s="294">
        <f>H79+H90+H101+H112+H134+H123</f>
        <v>0</v>
      </c>
      <c r="I145" s="294">
        <f>I79+I90+I101+I112+I134+I123</f>
        <v>0</v>
      </c>
      <c r="J145" s="294">
        <f>J79+J90+J101+J112+J134+J123</f>
        <v>0</v>
      </c>
      <c r="K145" s="294">
        <f>K79+K90+K101+K112+K134+K123</f>
        <v>0</v>
      </c>
      <c r="L145" s="294">
        <f>L79+L90+L101+L112+L134+L123</f>
        <v>43171.5</v>
      </c>
      <c r="M145" s="148"/>
      <c r="N145" s="148"/>
      <c r="O145" s="148"/>
      <c r="P145" s="148"/>
      <c r="Q145" s="148"/>
      <c r="R145" s="148"/>
      <c r="S145" s="148"/>
      <c r="T145" s="294">
        <f>T79+T90+T101+T112+T134+T123</f>
        <v>43171.5</v>
      </c>
      <c r="U145" s="294">
        <f>U79+U90+U101+U112+U134+U123</f>
        <v>282932.6</v>
      </c>
      <c r="V145" s="311"/>
      <c r="W145" s="2"/>
    </row>
    <row r="146" spans="1:23" ht="12.75" customHeight="1">
      <c r="A146" s="334"/>
      <c r="B146" s="68" t="s">
        <v>107</v>
      </c>
      <c r="C146" s="292"/>
      <c r="D146" s="281"/>
      <c r="E146" s="280"/>
      <c r="F146" s="297"/>
      <c r="G146" s="257"/>
      <c r="H146" s="294"/>
      <c r="I146" s="294"/>
      <c r="J146" s="294"/>
      <c r="K146" s="294"/>
      <c r="L146" s="294"/>
      <c r="M146" s="148"/>
      <c r="N146" s="148"/>
      <c r="O146" s="148"/>
      <c r="P146" s="148"/>
      <c r="Q146" s="148"/>
      <c r="R146" s="148"/>
      <c r="S146" s="148"/>
      <c r="T146" s="294"/>
      <c r="U146" s="294"/>
      <c r="V146" s="311"/>
      <c r="W146" s="2"/>
    </row>
    <row r="147" spans="1:23" ht="12.75">
      <c r="A147" s="334"/>
      <c r="B147" s="23" t="s">
        <v>29</v>
      </c>
      <c r="C147" s="292"/>
      <c r="D147" s="281"/>
      <c r="E147" s="280"/>
      <c r="F147" s="297"/>
      <c r="G147" s="20">
        <f>SUM(G148)</f>
        <v>0</v>
      </c>
      <c r="H147" s="20">
        <f>SUM(H148)</f>
        <v>0</v>
      </c>
      <c r="I147" s="20">
        <f>SUM(I148)</f>
        <v>0</v>
      </c>
      <c r="J147" s="20">
        <f>SUM(J148)</f>
        <v>0</v>
      </c>
      <c r="K147" s="20">
        <f>SUM(K148)</f>
        <v>0</v>
      </c>
      <c r="L147" s="152">
        <f>SUM(L148)</f>
        <v>0</v>
      </c>
      <c r="M147" s="152"/>
      <c r="N147" s="152"/>
      <c r="O147" s="152"/>
      <c r="P147" s="152"/>
      <c r="Q147" s="152"/>
      <c r="R147" s="152"/>
      <c r="S147" s="152"/>
      <c r="T147" s="20">
        <f>SUM(T148)</f>
        <v>0</v>
      </c>
      <c r="U147" s="20">
        <f>SUM(U148)</f>
        <v>0</v>
      </c>
      <c r="V147" s="311"/>
      <c r="W147" s="2"/>
    </row>
    <row r="148" spans="1:22" ht="12.75">
      <c r="A148" s="334"/>
      <c r="B148" s="44" t="s">
        <v>39</v>
      </c>
      <c r="C148" s="292"/>
      <c r="D148" s="281"/>
      <c r="E148" s="280"/>
      <c r="F148" s="297"/>
      <c r="G148" s="48">
        <f>SUM(H148:U148)</f>
        <v>0</v>
      </c>
      <c r="H148" s="48">
        <f>H137+H104+H93+H82</f>
        <v>0</v>
      </c>
      <c r="I148" s="48">
        <f>I137+I104+I93+I82</f>
        <v>0</v>
      </c>
      <c r="J148" s="48">
        <f>J137+J104+J93+J82</f>
        <v>0</v>
      </c>
      <c r="K148" s="48">
        <f>K137+K104+K93+K82</f>
        <v>0</v>
      </c>
      <c r="L148" s="153">
        <f>L137+L104+L93+L82</f>
        <v>0</v>
      </c>
      <c r="M148" s="153"/>
      <c r="N148" s="153"/>
      <c r="O148" s="153"/>
      <c r="P148" s="153"/>
      <c r="Q148" s="153"/>
      <c r="R148" s="153"/>
      <c r="S148" s="153"/>
      <c r="T148" s="48">
        <f>T137+T104+T93+T82</f>
        <v>0</v>
      </c>
      <c r="U148" s="48">
        <f>U137+U104+U93+U82</f>
        <v>0</v>
      </c>
      <c r="V148" s="311"/>
    </row>
    <row r="149" spans="1:22" ht="12.75">
      <c r="A149" s="334"/>
      <c r="B149" s="23" t="s">
        <v>30</v>
      </c>
      <c r="C149" s="292"/>
      <c r="D149" s="281"/>
      <c r="E149" s="280"/>
      <c r="F149" s="297"/>
      <c r="G149" s="20">
        <f>SUM(G150:G152)</f>
        <v>0</v>
      </c>
      <c r="H149" s="20">
        <f>SUM(H150:H152)</f>
        <v>0</v>
      </c>
      <c r="I149" s="20">
        <f>SUM(I150:I152)</f>
        <v>0</v>
      </c>
      <c r="J149" s="20">
        <f>SUM(J150:J152)</f>
        <v>0</v>
      </c>
      <c r="K149" s="20">
        <f>SUM(K150:K152)</f>
        <v>0</v>
      </c>
      <c r="L149" s="152">
        <f>SUM(L150:L152)</f>
        <v>0</v>
      </c>
      <c r="M149" s="152"/>
      <c r="N149" s="152"/>
      <c r="O149" s="152"/>
      <c r="P149" s="152"/>
      <c r="Q149" s="152"/>
      <c r="R149" s="152"/>
      <c r="S149" s="152"/>
      <c r="T149" s="20">
        <f>SUM(T150:T152)</f>
        <v>0</v>
      </c>
      <c r="U149" s="20">
        <f>SUM(U150:U152)</f>
        <v>0</v>
      </c>
      <c r="V149" s="311"/>
    </row>
    <row r="150" spans="1:22" ht="12.75">
      <c r="A150" s="334"/>
      <c r="B150" s="44" t="s">
        <v>41</v>
      </c>
      <c r="C150" s="292"/>
      <c r="D150" s="281"/>
      <c r="E150" s="281"/>
      <c r="F150" s="297"/>
      <c r="G150" s="48">
        <f aca="true" t="shared" si="0" ref="G150:G156">SUM(H150:U150)</f>
        <v>0</v>
      </c>
      <c r="H150" s="48">
        <f>H106+H95+H84+H139</f>
        <v>0</v>
      </c>
      <c r="I150" s="48">
        <f>I106+I95+I84+I139</f>
        <v>0</v>
      </c>
      <c r="J150" s="48">
        <f>J106+J95+J84+J139</f>
        <v>0</v>
      </c>
      <c r="K150" s="48">
        <f>K106+K95+K84+K139</f>
        <v>0</v>
      </c>
      <c r="L150" s="153">
        <f>L106+L95+L84+L139</f>
        <v>0</v>
      </c>
      <c r="M150" s="153"/>
      <c r="N150" s="153"/>
      <c r="O150" s="153"/>
      <c r="P150" s="153"/>
      <c r="Q150" s="153"/>
      <c r="R150" s="153"/>
      <c r="S150" s="153"/>
      <c r="T150" s="48">
        <f>T106+T95+T84+T139</f>
        <v>0</v>
      </c>
      <c r="U150" s="48">
        <f>U106+U95+U84+U139</f>
        <v>0</v>
      </c>
      <c r="V150" s="311"/>
    </row>
    <row r="151" spans="1:22" ht="12.75">
      <c r="A151" s="334"/>
      <c r="B151" s="41" t="s">
        <v>32</v>
      </c>
      <c r="C151" s="292"/>
      <c r="D151" s="281"/>
      <c r="E151" s="281"/>
      <c r="F151" s="297"/>
      <c r="G151" s="48">
        <f t="shared" si="0"/>
        <v>0</v>
      </c>
      <c r="H151" s="48">
        <f>H107+H96+H85+H140</f>
        <v>0</v>
      </c>
      <c r="I151" s="48">
        <f>I107+I96+I85+I140</f>
        <v>0</v>
      </c>
      <c r="J151" s="48">
        <f>J107+J96+J85+J140</f>
        <v>0</v>
      </c>
      <c r="K151" s="48">
        <f>K107+K96+K85+K140</f>
        <v>0</v>
      </c>
      <c r="L151" s="153">
        <f>L107+L96+L85+L140</f>
        <v>0</v>
      </c>
      <c r="M151" s="153"/>
      <c r="N151" s="153"/>
      <c r="O151" s="153"/>
      <c r="P151" s="153"/>
      <c r="Q151" s="153"/>
      <c r="R151" s="153"/>
      <c r="S151" s="153"/>
      <c r="T151" s="48">
        <f>T107+T96+T85+T140</f>
        <v>0</v>
      </c>
      <c r="U151" s="48">
        <f>U107+U96+U85+U140</f>
        <v>0</v>
      </c>
      <c r="V151" s="311"/>
    </row>
    <row r="152" spans="1:22" ht="12.75">
      <c r="A152" s="334"/>
      <c r="B152" s="41" t="s">
        <v>33</v>
      </c>
      <c r="C152" s="292"/>
      <c r="D152" s="281"/>
      <c r="E152" s="281"/>
      <c r="F152" s="297"/>
      <c r="G152" s="48">
        <f t="shared" si="0"/>
        <v>0</v>
      </c>
      <c r="H152" s="48">
        <f>H108+H97+H86+H141</f>
        <v>0</v>
      </c>
      <c r="I152" s="48">
        <f>I108+I97+I86+I141</f>
        <v>0</v>
      </c>
      <c r="J152" s="48">
        <f>J108+J97+J86+J141</f>
        <v>0</v>
      </c>
      <c r="K152" s="48">
        <f>K108+K97+K86+K141</f>
        <v>0</v>
      </c>
      <c r="L152" s="153">
        <f>L108+L97+L86+L141</f>
        <v>0</v>
      </c>
      <c r="M152" s="153"/>
      <c r="N152" s="153"/>
      <c r="O152" s="153"/>
      <c r="P152" s="153"/>
      <c r="Q152" s="153"/>
      <c r="R152" s="153"/>
      <c r="S152" s="153"/>
      <c r="T152" s="48">
        <f>T108+T97+T86+T141</f>
        <v>0</v>
      </c>
      <c r="U152" s="48">
        <f>U108+U97+U86+U141</f>
        <v>0</v>
      </c>
      <c r="V152" s="311"/>
    </row>
    <row r="153" spans="1:22" ht="12.75">
      <c r="A153" s="334"/>
      <c r="B153" s="23" t="s">
        <v>37</v>
      </c>
      <c r="C153" s="292"/>
      <c r="D153" s="281"/>
      <c r="E153" s="281"/>
      <c r="F153" s="297"/>
      <c r="G153" s="20">
        <f t="shared" si="0"/>
        <v>0</v>
      </c>
      <c r="H153" s="20">
        <f>SUM(H154:H155)</f>
        <v>0</v>
      </c>
      <c r="I153" s="20">
        <f>SUM(I154:I155)</f>
        <v>0</v>
      </c>
      <c r="J153" s="20">
        <f>SUM(J154:J155)</f>
        <v>0</v>
      </c>
      <c r="K153" s="20">
        <f>SUM(K154:K155)</f>
        <v>0</v>
      </c>
      <c r="L153" s="152">
        <f>SUM(L154:L155)</f>
        <v>0</v>
      </c>
      <c r="M153" s="152"/>
      <c r="N153" s="152"/>
      <c r="O153" s="152"/>
      <c r="P153" s="152"/>
      <c r="Q153" s="152"/>
      <c r="R153" s="152"/>
      <c r="S153" s="152"/>
      <c r="T153" s="20">
        <f>SUM(T154:T155)</f>
        <v>0</v>
      </c>
      <c r="U153" s="20">
        <f>SUM(U154:U155)</f>
        <v>0</v>
      </c>
      <c r="V153" s="311"/>
    </row>
    <row r="154" spans="1:22" ht="12.75">
      <c r="A154" s="334"/>
      <c r="B154" s="41" t="s">
        <v>56</v>
      </c>
      <c r="C154" s="292"/>
      <c r="D154" s="281"/>
      <c r="E154" s="281"/>
      <c r="F154" s="297"/>
      <c r="G154" s="48">
        <f t="shared" si="0"/>
        <v>0</v>
      </c>
      <c r="H154" s="48">
        <f>SUM(T154:V154)</f>
        <v>0</v>
      </c>
      <c r="I154" s="48">
        <f aca="true" t="shared" si="1" ref="I154:L156">SUM(U154:W154)</f>
        <v>0</v>
      </c>
      <c r="J154" s="48">
        <f t="shared" si="1"/>
        <v>0</v>
      </c>
      <c r="K154" s="48">
        <f t="shared" si="1"/>
        <v>0</v>
      </c>
      <c r="L154" s="153">
        <f t="shared" si="1"/>
        <v>0</v>
      </c>
      <c r="M154" s="153"/>
      <c r="N154" s="153"/>
      <c r="O154" s="153"/>
      <c r="P154" s="153"/>
      <c r="Q154" s="153"/>
      <c r="R154" s="153"/>
      <c r="S154" s="153"/>
      <c r="T154" s="48">
        <f aca="true" t="shared" si="2" ref="T154:U156">SUM(U154:W154)</f>
        <v>0</v>
      </c>
      <c r="U154" s="48">
        <f t="shared" si="2"/>
        <v>0</v>
      </c>
      <c r="V154" s="311"/>
    </row>
    <row r="155" spans="1:22" ht="12.75">
      <c r="A155" s="334"/>
      <c r="B155" s="41" t="s">
        <v>57</v>
      </c>
      <c r="C155" s="292"/>
      <c r="D155" s="281"/>
      <c r="E155" s="281"/>
      <c r="F155" s="297"/>
      <c r="G155" s="48">
        <f t="shared" si="0"/>
        <v>0</v>
      </c>
      <c r="H155" s="48">
        <f>SUM(T155:V155)</f>
        <v>0</v>
      </c>
      <c r="I155" s="48">
        <f t="shared" si="1"/>
        <v>0</v>
      </c>
      <c r="J155" s="48">
        <f t="shared" si="1"/>
        <v>0</v>
      </c>
      <c r="K155" s="48">
        <f t="shared" si="1"/>
        <v>0</v>
      </c>
      <c r="L155" s="153">
        <f t="shared" si="1"/>
        <v>0</v>
      </c>
      <c r="M155" s="153"/>
      <c r="N155" s="153"/>
      <c r="O155" s="153"/>
      <c r="P155" s="153"/>
      <c r="Q155" s="153"/>
      <c r="R155" s="153"/>
      <c r="S155" s="153"/>
      <c r="T155" s="48">
        <f t="shared" si="2"/>
        <v>0</v>
      </c>
      <c r="U155" s="48">
        <f t="shared" si="2"/>
        <v>0</v>
      </c>
      <c r="V155" s="311"/>
    </row>
    <row r="156" spans="1:22" ht="12.75">
      <c r="A156" s="335"/>
      <c r="B156" s="23" t="s">
        <v>38</v>
      </c>
      <c r="C156" s="293"/>
      <c r="D156" s="282"/>
      <c r="E156" s="282"/>
      <c r="F156" s="298"/>
      <c r="G156" s="20">
        <f t="shared" si="0"/>
        <v>0</v>
      </c>
      <c r="H156" s="20">
        <f>SUM(T156:V156)</f>
        <v>0</v>
      </c>
      <c r="I156" s="20">
        <f t="shared" si="1"/>
        <v>0</v>
      </c>
      <c r="J156" s="20">
        <f t="shared" si="1"/>
        <v>0</v>
      </c>
      <c r="K156" s="20">
        <f t="shared" si="1"/>
        <v>0</v>
      </c>
      <c r="L156" s="152">
        <f t="shared" si="1"/>
        <v>0</v>
      </c>
      <c r="M156" s="152"/>
      <c r="N156" s="152"/>
      <c r="O156" s="152"/>
      <c r="P156" s="152"/>
      <c r="Q156" s="152"/>
      <c r="R156" s="152"/>
      <c r="S156" s="152"/>
      <c r="T156" s="20">
        <f t="shared" si="2"/>
        <v>0</v>
      </c>
      <c r="U156" s="20">
        <f t="shared" si="2"/>
        <v>0</v>
      </c>
      <c r="V156" s="312"/>
    </row>
    <row r="157" spans="1:21" ht="12.75">
      <c r="A157" s="4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2.75">
      <c r="A158" s="3"/>
      <c r="B158" s="6"/>
      <c r="C158" s="6"/>
      <c r="D158" s="6"/>
      <c r="E158" s="6"/>
      <c r="F158" s="6"/>
      <c r="G158" s="29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9"/>
      <c r="U158" s="29"/>
    </row>
    <row r="159" spans="1:22" ht="13.5" customHeight="1">
      <c r="A159" s="333"/>
      <c r="B159" s="15" t="s">
        <v>20</v>
      </c>
      <c r="C159" s="296"/>
      <c r="D159" s="314">
        <f>G144+G65</f>
        <v>442525.44999999995</v>
      </c>
      <c r="E159" s="296"/>
      <c r="F159" s="299">
        <f>G145+G66</f>
        <v>442525.44999999995</v>
      </c>
      <c r="G159" s="25">
        <f>G160+G162+G164+G168+G171</f>
        <v>442525.44999999995</v>
      </c>
      <c r="H159" s="25">
        <f>H160+H162+H164+H168+H171</f>
        <v>0</v>
      </c>
      <c r="I159" s="25">
        <f>I160+I162+I164+I168+I171</f>
        <v>0</v>
      </c>
      <c r="J159" s="25">
        <f>J160+J162+J164+J168+J171</f>
        <v>0</v>
      </c>
      <c r="K159" s="25">
        <f>K160+K162+K164+K168+K171</f>
        <v>0</v>
      </c>
      <c r="L159" s="25">
        <f>L160+L162+L164+L168+L171</f>
        <v>98577.40000000001</v>
      </c>
      <c r="M159" s="25"/>
      <c r="N159" s="25"/>
      <c r="O159" s="25"/>
      <c r="P159" s="25"/>
      <c r="Q159" s="25"/>
      <c r="R159" s="25"/>
      <c r="S159" s="25"/>
      <c r="T159" s="25">
        <f>T160+T162+T164+T168+T171</f>
        <v>98577.35</v>
      </c>
      <c r="U159" s="25">
        <f>U160+U162+U164+U168+U171</f>
        <v>343948.1</v>
      </c>
      <c r="V159" s="307"/>
    </row>
    <row r="160" spans="1:22" ht="12.75" customHeight="1">
      <c r="A160" s="334"/>
      <c r="B160" s="22" t="s">
        <v>127</v>
      </c>
      <c r="C160" s="297"/>
      <c r="D160" s="281"/>
      <c r="E160" s="297"/>
      <c r="F160" s="300"/>
      <c r="G160" s="250">
        <f>H160+T160+U160</f>
        <v>442525.44999999995</v>
      </c>
      <c r="H160" s="294">
        <f>H145+H66</f>
        <v>0</v>
      </c>
      <c r="I160" s="294">
        <f>I145+I66</f>
        <v>0</v>
      </c>
      <c r="J160" s="294">
        <f>J145+J66</f>
        <v>0</v>
      </c>
      <c r="K160" s="294">
        <f>K145+K66</f>
        <v>0</v>
      </c>
      <c r="L160" s="294">
        <f>L145+L66</f>
        <v>98577.40000000001</v>
      </c>
      <c r="M160" s="148"/>
      <c r="N160" s="148"/>
      <c r="O160" s="148"/>
      <c r="P160" s="148"/>
      <c r="Q160" s="148"/>
      <c r="R160" s="148"/>
      <c r="S160" s="148"/>
      <c r="T160" s="294">
        <f>T145+T66</f>
        <v>98577.35</v>
      </c>
      <c r="U160" s="294">
        <f>U145+U66</f>
        <v>343948.1</v>
      </c>
      <c r="V160" s="308"/>
    </row>
    <row r="161" spans="1:23" ht="12.75" customHeight="1">
      <c r="A161" s="334"/>
      <c r="B161" s="40" t="s">
        <v>117</v>
      </c>
      <c r="C161" s="297"/>
      <c r="D161" s="281"/>
      <c r="E161" s="297"/>
      <c r="F161" s="300"/>
      <c r="G161" s="295"/>
      <c r="H161" s="294"/>
      <c r="I161" s="294"/>
      <c r="J161" s="294"/>
      <c r="K161" s="294"/>
      <c r="L161" s="294"/>
      <c r="M161" s="148"/>
      <c r="N161" s="148"/>
      <c r="O161" s="148"/>
      <c r="P161" s="148"/>
      <c r="Q161" s="148"/>
      <c r="R161" s="148"/>
      <c r="S161" s="148"/>
      <c r="T161" s="294"/>
      <c r="U161" s="294"/>
      <c r="V161" s="308"/>
      <c r="W161" s="2"/>
    </row>
    <row r="162" spans="1:22" ht="12.75">
      <c r="A162" s="334"/>
      <c r="B162" s="23" t="s">
        <v>29</v>
      </c>
      <c r="C162" s="297"/>
      <c r="D162" s="281"/>
      <c r="E162" s="297"/>
      <c r="F162" s="300"/>
      <c r="G162" s="20">
        <f>SUM(G163)</f>
        <v>0</v>
      </c>
      <c r="H162" s="20">
        <f>H163</f>
        <v>0</v>
      </c>
      <c r="I162" s="20">
        <f>I163</f>
        <v>0</v>
      </c>
      <c r="J162" s="20">
        <f>J163</f>
        <v>0</v>
      </c>
      <c r="K162" s="20">
        <f>K163</f>
        <v>0</v>
      </c>
      <c r="L162" s="152">
        <f>L163</f>
        <v>0</v>
      </c>
      <c r="M162" s="152"/>
      <c r="N162" s="152"/>
      <c r="O162" s="152"/>
      <c r="P162" s="152"/>
      <c r="Q162" s="152"/>
      <c r="R162" s="152"/>
      <c r="S162" s="152"/>
      <c r="T162" s="20">
        <f>T163</f>
        <v>0</v>
      </c>
      <c r="U162" s="20">
        <f>U163</f>
        <v>0</v>
      </c>
      <c r="V162" s="308"/>
    </row>
    <row r="163" spans="1:23" ht="15.75" customHeight="1">
      <c r="A163" s="334"/>
      <c r="B163" s="44" t="s">
        <v>42</v>
      </c>
      <c r="C163" s="297"/>
      <c r="D163" s="281"/>
      <c r="E163" s="297"/>
      <c r="F163" s="300"/>
      <c r="G163" s="48">
        <f>SUM(H163:U163)</f>
        <v>0</v>
      </c>
      <c r="H163" s="48">
        <f>H69+H148</f>
        <v>0</v>
      </c>
      <c r="I163" s="48">
        <f>I69+I148</f>
        <v>0</v>
      </c>
      <c r="J163" s="48">
        <f>J69+J148</f>
        <v>0</v>
      </c>
      <c r="K163" s="48">
        <f>K69+K148</f>
        <v>0</v>
      </c>
      <c r="L163" s="153">
        <f>L69+L148</f>
        <v>0</v>
      </c>
      <c r="M163" s="153"/>
      <c r="N163" s="153"/>
      <c r="O163" s="153"/>
      <c r="P163" s="153"/>
      <c r="Q163" s="153"/>
      <c r="R163" s="153"/>
      <c r="S163" s="153"/>
      <c r="T163" s="48">
        <f>T69+T148</f>
        <v>0</v>
      </c>
      <c r="U163" s="48">
        <f>U69+U148</f>
        <v>0</v>
      </c>
      <c r="V163" s="308"/>
      <c r="W163" s="2"/>
    </row>
    <row r="164" spans="1:22" ht="15.75" customHeight="1">
      <c r="A164" s="334"/>
      <c r="B164" s="23" t="s">
        <v>30</v>
      </c>
      <c r="C164" s="297"/>
      <c r="D164" s="281"/>
      <c r="E164" s="297"/>
      <c r="F164" s="300"/>
      <c r="G164" s="20">
        <f>SUM(G165:G167)</f>
        <v>0</v>
      </c>
      <c r="H164" s="20">
        <f>SUM(H165:H167)</f>
        <v>0</v>
      </c>
      <c r="I164" s="20">
        <f>SUM(I165:I167)</f>
        <v>0</v>
      </c>
      <c r="J164" s="20">
        <f>SUM(J165:J167)</f>
        <v>0</v>
      </c>
      <c r="K164" s="20">
        <f>SUM(K165:K167)</f>
        <v>0</v>
      </c>
      <c r="L164" s="152">
        <f>SUM(L165:L167)</f>
        <v>0</v>
      </c>
      <c r="M164" s="152"/>
      <c r="N164" s="152"/>
      <c r="O164" s="152"/>
      <c r="P164" s="152"/>
      <c r="Q164" s="152"/>
      <c r="R164" s="152"/>
      <c r="S164" s="152"/>
      <c r="T164" s="20">
        <f>SUM(T165:T167)</f>
        <v>0</v>
      </c>
      <c r="U164" s="20">
        <f>SUM(U165:U167)</f>
        <v>0</v>
      </c>
      <c r="V164" s="308"/>
    </row>
    <row r="165" spans="1:22" ht="12.75">
      <c r="A165" s="334"/>
      <c r="B165" s="44" t="s">
        <v>41</v>
      </c>
      <c r="C165" s="297"/>
      <c r="D165" s="281"/>
      <c r="E165" s="297"/>
      <c r="F165" s="300"/>
      <c r="G165" s="48">
        <f aca="true" t="shared" si="3" ref="G165:G171">SUM(H165:U165)</f>
        <v>0</v>
      </c>
      <c r="H165" s="48">
        <f>H150+H71</f>
        <v>0</v>
      </c>
      <c r="I165" s="48">
        <f>I150+I71</f>
        <v>0</v>
      </c>
      <c r="J165" s="48">
        <f>J150+J71</f>
        <v>0</v>
      </c>
      <c r="K165" s="48">
        <f>K150+K71</f>
        <v>0</v>
      </c>
      <c r="L165" s="153">
        <f>L150+L71</f>
        <v>0</v>
      </c>
      <c r="M165" s="153"/>
      <c r="N165" s="153"/>
      <c r="O165" s="153"/>
      <c r="P165" s="153"/>
      <c r="Q165" s="153"/>
      <c r="R165" s="153"/>
      <c r="S165" s="153"/>
      <c r="T165" s="48">
        <f aca="true" t="shared" si="4" ref="T165:U167">T150+T71</f>
        <v>0</v>
      </c>
      <c r="U165" s="48">
        <f t="shared" si="4"/>
        <v>0</v>
      </c>
      <c r="V165" s="308"/>
    </row>
    <row r="166" spans="1:22" ht="12.75">
      <c r="A166" s="334"/>
      <c r="B166" s="41" t="s">
        <v>32</v>
      </c>
      <c r="C166" s="297"/>
      <c r="D166" s="281"/>
      <c r="E166" s="297"/>
      <c r="F166" s="300"/>
      <c r="G166" s="48">
        <f t="shared" si="3"/>
        <v>0</v>
      </c>
      <c r="H166" s="48">
        <f>H151+H72</f>
        <v>0</v>
      </c>
      <c r="I166" s="48">
        <f>I151+I72</f>
        <v>0</v>
      </c>
      <c r="J166" s="48">
        <f>J151+J72</f>
        <v>0</v>
      </c>
      <c r="K166" s="48">
        <f>K151+K72</f>
        <v>0</v>
      </c>
      <c r="L166" s="153">
        <f>L151+L72</f>
        <v>0</v>
      </c>
      <c r="M166" s="153"/>
      <c r="N166" s="153"/>
      <c r="O166" s="153"/>
      <c r="P166" s="153"/>
      <c r="Q166" s="153"/>
      <c r="R166" s="153"/>
      <c r="S166" s="153"/>
      <c r="T166" s="48">
        <f t="shared" si="4"/>
        <v>0</v>
      </c>
      <c r="U166" s="48">
        <f t="shared" si="4"/>
        <v>0</v>
      </c>
      <c r="V166" s="308"/>
    </row>
    <row r="167" spans="1:22" ht="15" customHeight="1">
      <c r="A167" s="334"/>
      <c r="B167" s="41" t="s">
        <v>33</v>
      </c>
      <c r="C167" s="297"/>
      <c r="D167" s="281"/>
      <c r="E167" s="297"/>
      <c r="F167" s="300"/>
      <c r="G167" s="48">
        <f t="shared" si="3"/>
        <v>0</v>
      </c>
      <c r="H167" s="48">
        <f>H152+H73</f>
        <v>0</v>
      </c>
      <c r="I167" s="48">
        <f>I152+I73</f>
        <v>0</v>
      </c>
      <c r="J167" s="48">
        <f>J152+J73</f>
        <v>0</v>
      </c>
      <c r="K167" s="48">
        <f>K152+K73</f>
        <v>0</v>
      </c>
      <c r="L167" s="153">
        <f>L152+L73</f>
        <v>0</v>
      </c>
      <c r="M167" s="153"/>
      <c r="N167" s="153"/>
      <c r="O167" s="153"/>
      <c r="P167" s="153"/>
      <c r="Q167" s="153"/>
      <c r="R167" s="153"/>
      <c r="S167" s="153"/>
      <c r="T167" s="48">
        <f t="shared" si="4"/>
        <v>0</v>
      </c>
      <c r="U167" s="48">
        <f t="shared" si="4"/>
        <v>0</v>
      </c>
      <c r="V167" s="308"/>
    </row>
    <row r="168" spans="1:22" ht="15" customHeight="1">
      <c r="A168" s="334"/>
      <c r="B168" s="23" t="s">
        <v>37</v>
      </c>
      <c r="C168" s="297"/>
      <c r="D168" s="281"/>
      <c r="E168" s="297"/>
      <c r="F168" s="300"/>
      <c r="G168" s="20">
        <f t="shared" si="3"/>
        <v>0</v>
      </c>
      <c r="H168" s="20">
        <f>SUM(H169:H170)</f>
        <v>0</v>
      </c>
      <c r="I168" s="20">
        <f>SUM(I169:I170)</f>
        <v>0</v>
      </c>
      <c r="J168" s="20">
        <f>SUM(J169:J170)</f>
        <v>0</v>
      </c>
      <c r="K168" s="20">
        <f>SUM(K169:K170)</f>
        <v>0</v>
      </c>
      <c r="L168" s="152">
        <f>SUM(L169:L170)</f>
        <v>0</v>
      </c>
      <c r="M168" s="152"/>
      <c r="N168" s="152"/>
      <c r="O168" s="152"/>
      <c r="P168" s="152"/>
      <c r="Q168" s="152"/>
      <c r="R168" s="152"/>
      <c r="S168" s="152"/>
      <c r="T168" s="20">
        <f>SUM(T169:T170)</f>
        <v>0</v>
      </c>
      <c r="U168" s="20">
        <f>SUM(U169:U170)</f>
        <v>0</v>
      </c>
      <c r="V168" s="308"/>
    </row>
    <row r="169" spans="1:22" ht="15" customHeight="1">
      <c r="A169" s="334"/>
      <c r="B169" s="41" t="s">
        <v>56</v>
      </c>
      <c r="C169" s="297"/>
      <c r="D169" s="281"/>
      <c r="E169" s="297"/>
      <c r="F169" s="300"/>
      <c r="G169" s="48">
        <f t="shared" si="3"/>
        <v>0</v>
      </c>
      <c r="H169" s="48">
        <f>H154</f>
        <v>0</v>
      </c>
      <c r="I169" s="48">
        <f>I154</f>
        <v>0</v>
      </c>
      <c r="J169" s="48">
        <f>J154</f>
        <v>0</v>
      </c>
      <c r="K169" s="48">
        <f>K154</f>
        <v>0</v>
      </c>
      <c r="L169" s="153">
        <f>L154</f>
        <v>0</v>
      </c>
      <c r="M169" s="153"/>
      <c r="N169" s="153"/>
      <c r="O169" s="153"/>
      <c r="P169" s="153"/>
      <c r="Q169" s="153"/>
      <c r="R169" s="153"/>
      <c r="S169" s="153"/>
      <c r="T169" s="48">
        <f>T154</f>
        <v>0</v>
      </c>
      <c r="U169" s="48">
        <f>U154</f>
        <v>0</v>
      </c>
      <c r="V169" s="308"/>
    </row>
    <row r="170" spans="1:22" ht="15" customHeight="1">
      <c r="A170" s="334"/>
      <c r="B170" s="41" t="s">
        <v>57</v>
      </c>
      <c r="C170" s="297"/>
      <c r="D170" s="281"/>
      <c r="E170" s="297"/>
      <c r="F170" s="300"/>
      <c r="G170" s="48">
        <f t="shared" si="3"/>
        <v>0</v>
      </c>
      <c r="H170" s="48">
        <f>H155</f>
        <v>0</v>
      </c>
      <c r="I170" s="48">
        <f>I155</f>
        <v>0</v>
      </c>
      <c r="J170" s="48">
        <f>J155</f>
        <v>0</v>
      </c>
      <c r="K170" s="48">
        <f>K155</f>
        <v>0</v>
      </c>
      <c r="L170" s="153">
        <f>L155</f>
        <v>0</v>
      </c>
      <c r="M170" s="153"/>
      <c r="N170" s="153"/>
      <c r="O170" s="153"/>
      <c r="P170" s="153"/>
      <c r="Q170" s="153"/>
      <c r="R170" s="153"/>
      <c r="S170" s="153"/>
      <c r="T170" s="48">
        <f>T155</f>
        <v>0</v>
      </c>
      <c r="U170" s="48">
        <f>U155</f>
        <v>0</v>
      </c>
      <c r="V170" s="308"/>
    </row>
    <row r="171" spans="1:22" ht="15" customHeight="1">
      <c r="A171" s="335"/>
      <c r="B171" s="23" t="s">
        <v>38</v>
      </c>
      <c r="C171" s="298"/>
      <c r="D171" s="282"/>
      <c r="E171" s="298"/>
      <c r="F171" s="301"/>
      <c r="G171" s="20">
        <f t="shared" si="3"/>
        <v>0</v>
      </c>
      <c r="H171" s="20"/>
      <c r="I171" s="20"/>
      <c r="J171" s="20"/>
      <c r="K171" s="20"/>
      <c r="L171" s="152"/>
      <c r="M171" s="152"/>
      <c r="N171" s="152"/>
      <c r="O171" s="152"/>
      <c r="P171" s="152"/>
      <c r="Q171" s="152"/>
      <c r="R171" s="152"/>
      <c r="S171" s="152"/>
      <c r="T171" s="20"/>
      <c r="U171" s="20"/>
      <c r="V171" s="309"/>
    </row>
  </sheetData>
  <sheetProtection/>
  <mergeCells count="173">
    <mergeCell ref="A2:U2"/>
    <mergeCell ref="A3:U3"/>
    <mergeCell ref="A5:A6"/>
    <mergeCell ref="B5:B6"/>
    <mergeCell ref="C5:C6"/>
    <mergeCell ref="D5:D6"/>
    <mergeCell ref="A4:U4"/>
    <mergeCell ref="E5:E6"/>
    <mergeCell ref="A159:A171"/>
    <mergeCell ref="A144:A156"/>
    <mergeCell ref="C159:C171"/>
    <mergeCell ref="D78:D88"/>
    <mergeCell ref="D122:D132"/>
    <mergeCell ref="D144:D156"/>
    <mergeCell ref="D111:D121"/>
    <mergeCell ref="A89:A99"/>
    <mergeCell ref="C89:C99"/>
    <mergeCell ref="A78:A88"/>
    <mergeCell ref="A122:A132"/>
    <mergeCell ref="A100:A110"/>
    <mergeCell ref="C133:C143"/>
    <mergeCell ref="C122:C132"/>
    <mergeCell ref="A133:A143"/>
    <mergeCell ref="A111:A121"/>
    <mergeCell ref="A21:A31"/>
    <mergeCell ref="V5:V6"/>
    <mergeCell ref="T44:T45"/>
    <mergeCell ref="U44:U45"/>
    <mergeCell ref="A10:A20"/>
    <mergeCell ref="U79:U80"/>
    <mergeCell ref="F78:F88"/>
    <mergeCell ref="E78:E88"/>
    <mergeCell ref="G79:G80"/>
    <mergeCell ref="E32:E42"/>
    <mergeCell ref="G11:G12"/>
    <mergeCell ref="D32:D42"/>
    <mergeCell ref="C21:C31"/>
    <mergeCell ref="U66:U67"/>
    <mergeCell ref="V54:V64"/>
    <mergeCell ref="H55:H56"/>
    <mergeCell ref="G44:G45"/>
    <mergeCell ref="A32:A42"/>
    <mergeCell ref="L5:O5"/>
    <mergeCell ref="P5:S5"/>
    <mergeCell ref="L11:L12"/>
    <mergeCell ref="L33:L34"/>
    <mergeCell ref="V32:V42"/>
    <mergeCell ref="V43:V53"/>
    <mergeCell ref="T33:T34"/>
    <mergeCell ref="U33:U34"/>
    <mergeCell ref="D43:D53"/>
    <mergeCell ref="V65:V75"/>
    <mergeCell ref="E21:E31"/>
    <mergeCell ref="C54:C64"/>
    <mergeCell ref="F54:F64"/>
    <mergeCell ref="D65:D75"/>
    <mergeCell ref="D54:D64"/>
    <mergeCell ref="G33:G34"/>
    <mergeCell ref="G66:G67"/>
    <mergeCell ref="F43:F53"/>
    <mergeCell ref="H22:H23"/>
    <mergeCell ref="E43:E53"/>
    <mergeCell ref="H44:H45"/>
    <mergeCell ref="F21:F31"/>
    <mergeCell ref="G22:G23"/>
    <mergeCell ref="E65:E75"/>
    <mergeCell ref="V78:V88"/>
    <mergeCell ref="C65:C75"/>
    <mergeCell ref="V159:V171"/>
    <mergeCell ref="V144:V156"/>
    <mergeCell ref="H145:H146"/>
    <mergeCell ref="T145:T146"/>
    <mergeCell ref="U145:U146"/>
    <mergeCell ref="V100:V110"/>
    <mergeCell ref="V111:V121"/>
    <mergeCell ref="V122:V132"/>
    <mergeCell ref="T66:T67"/>
    <mergeCell ref="T123:T124"/>
    <mergeCell ref="H66:H67"/>
    <mergeCell ref="C78:C88"/>
    <mergeCell ref="H123:H124"/>
    <mergeCell ref="V89:V99"/>
    <mergeCell ref="T79:T80"/>
    <mergeCell ref="H79:H80"/>
    <mergeCell ref="F100:F110"/>
    <mergeCell ref="H90:H91"/>
    <mergeCell ref="E111:E121"/>
    <mergeCell ref="G90:G91"/>
    <mergeCell ref="H112:H113"/>
    <mergeCell ref="D159:D171"/>
    <mergeCell ref="D89:D99"/>
    <mergeCell ref="H134:H135"/>
    <mergeCell ref="H101:H102"/>
    <mergeCell ref="F89:F99"/>
    <mergeCell ref="G134:G135"/>
    <mergeCell ref="E89:E99"/>
    <mergeCell ref="F111:F121"/>
    <mergeCell ref="F144:F156"/>
    <mergeCell ref="G123:G124"/>
    <mergeCell ref="G101:G102"/>
    <mergeCell ref="G160:G161"/>
    <mergeCell ref="E159:E171"/>
    <mergeCell ref="F159:F171"/>
    <mergeCell ref="F133:F143"/>
    <mergeCell ref="E144:E156"/>
    <mergeCell ref="G112:G113"/>
    <mergeCell ref="E100:E110"/>
    <mergeCell ref="U101:U102"/>
    <mergeCell ref="U134:U135"/>
    <mergeCell ref="U112:U113"/>
    <mergeCell ref="H160:H161"/>
    <mergeCell ref="I160:I161"/>
    <mergeCell ref="J160:J161"/>
    <mergeCell ref="K160:K161"/>
    <mergeCell ref="T90:T91"/>
    <mergeCell ref="T160:T161"/>
    <mergeCell ref="T101:T102"/>
    <mergeCell ref="U123:U124"/>
    <mergeCell ref="U160:U161"/>
    <mergeCell ref="U90:U91"/>
    <mergeCell ref="L101:L102"/>
    <mergeCell ref="L112:L113"/>
    <mergeCell ref="L134:L135"/>
    <mergeCell ref="L145:L146"/>
    <mergeCell ref="L160:L161"/>
    <mergeCell ref="A43:A53"/>
    <mergeCell ref="C43:C53"/>
    <mergeCell ref="T112:T113"/>
    <mergeCell ref="G145:G146"/>
    <mergeCell ref="T134:T135"/>
    <mergeCell ref="E54:E64"/>
    <mergeCell ref="F65:F75"/>
    <mergeCell ref="E122:E132"/>
    <mergeCell ref="F122:F132"/>
    <mergeCell ref="D100:D110"/>
    <mergeCell ref="D133:D143"/>
    <mergeCell ref="E133:E143"/>
    <mergeCell ref="A65:A75"/>
    <mergeCell ref="C111:C121"/>
    <mergeCell ref="C100:C110"/>
    <mergeCell ref="C144:C156"/>
    <mergeCell ref="L44:L45"/>
    <mergeCell ref="L55:L56"/>
    <mergeCell ref="L66:L67"/>
    <mergeCell ref="L90:L91"/>
    <mergeCell ref="I145:I146"/>
    <mergeCell ref="J145:J146"/>
    <mergeCell ref="K145:K146"/>
    <mergeCell ref="G55:G56"/>
    <mergeCell ref="G5:G6"/>
    <mergeCell ref="H5:K5"/>
    <mergeCell ref="I66:I67"/>
    <mergeCell ref="J66:J67"/>
    <mergeCell ref="K66:K67"/>
    <mergeCell ref="B8:V8"/>
    <mergeCell ref="H11:H12"/>
    <mergeCell ref="F10:F20"/>
    <mergeCell ref="E10:E20"/>
    <mergeCell ref="D10:D20"/>
    <mergeCell ref="V21:V31"/>
    <mergeCell ref="T22:T23"/>
    <mergeCell ref="V10:V20"/>
    <mergeCell ref="T11:T12"/>
    <mergeCell ref="U22:U23"/>
    <mergeCell ref="U11:U12"/>
    <mergeCell ref="F5:F6"/>
    <mergeCell ref="C10:C20"/>
    <mergeCell ref="C32:C42"/>
    <mergeCell ref="F32:F42"/>
    <mergeCell ref="D21:D31"/>
    <mergeCell ref="H33:H34"/>
    <mergeCell ref="T55:T56"/>
    <mergeCell ref="U55:U56"/>
  </mergeCells>
  <printOptions/>
  <pageMargins left="0.3937007874015748" right="0.2362204724409449" top="0.3937007874015748" bottom="0.31496062992125984" header="0.4724409448818898" footer="0.2755905511811024"/>
  <pageSetup fitToHeight="10" fitToWidth="1" horizontalDpi="600" verticalDpi="600" orientation="landscape" paperSize="9" r:id="rId1"/>
  <rowBreaks count="2" manualBreakCount="2">
    <brk id="119" max="10" man="1"/>
    <brk id="156" max="10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79"/>
  <sheetViews>
    <sheetView tabSelected="1" zoomScaleSheetLayoutView="12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478" sqref="O478"/>
    </sheetView>
  </sheetViews>
  <sheetFormatPr defaultColWidth="9.00390625" defaultRowHeight="12.75"/>
  <cols>
    <col min="1" max="1" width="6.625" style="129" customWidth="1"/>
    <col min="2" max="2" width="48.875" style="129" customWidth="1"/>
    <col min="3" max="3" width="5.25390625" style="129" hidden="1" customWidth="1"/>
    <col min="4" max="4" width="14.25390625" style="129" hidden="1" customWidth="1"/>
    <col min="5" max="5" width="6.375" style="129" hidden="1" customWidth="1"/>
    <col min="6" max="6" width="6.25390625" style="129" hidden="1" customWidth="1"/>
    <col min="7" max="7" width="12.375" style="130" customWidth="1"/>
    <col min="8" max="8" width="11.375" style="130" hidden="1" customWidth="1"/>
    <col min="9" max="9" width="13.00390625" style="130" hidden="1" customWidth="1"/>
    <col min="10" max="10" width="13.375" style="130" hidden="1" customWidth="1"/>
    <col min="11" max="11" width="15.125" style="130" hidden="1" customWidth="1"/>
    <col min="12" max="13" width="14.75390625" style="130" customWidth="1"/>
    <col min="14" max="14" width="13.625" style="130" customWidth="1"/>
    <col min="15" max="15" width="14.625" style="130" customWidth="1"/>
    <col min="16" max="16" width="11.875" style="130" hidden="1" customWidth="1"/>
    <col min="17" max="17" width="15.875" style="130" hidden="1" customWidth="1"/>
    <col min="18" max="18" width="12.00390625" style="130" hidden="1" customWidth="1"/>
    <col min="19" max="19" width="12.875" style="130" hidden="1" customWidth="1"/>
    <col min="20" max="20" width="8.875" style="130" hidden="1" customWidth="1"/>
    <col min="21" max="21" width="10.00390625" style="130" hidden="1" customWidth="1"/>
    <col min="22" max="22" width="14.625" style="129" customWidth="1"/>
    <col min="23" max="23" width="11.875" style="129" bestFit="1" customWidth="1"/>
    <col min="24" max="16384" width="9.125" style="129" customWidth="1"/>
  </cols>
  <sheetData>
    <row r="1" spans="1:22" ht="35.25" customHeight="1">
      <c r="A1" s="265" t="s">
        <v>16</v>
      </c>
      <c r="B1" s="265" t="s">
        <v>11</v>
      </c>
      <c r="C1" s="265" t="s">
        <v>34</v>
      </c>
      <c r="D1" s="265" t="s">
        <v>35</v>
      </c>
      <c r="E1" s="265" t="s">
        <v>36</v>
      </c>
      <c r="F1" s="265" t="s">
        <v>44</v>
      </c>
      <c r="G1" s="245" t="s">
        <v>150</v>
      </c>
      <c r="H1" s="393" t="s">
        <v>147</v>
      </c>
      <c r="I1" s="394"/>
      <c r="J1" s="394"/>
      <c r="K1" s="395"/>
      <c r="L1" s="247" t="s">
        <v>204</v>
      </c>
      <c r="M1" s="248"/>
      <c r="N1" s="248"/>
      <c r="O1" s="249"/>
      <c r="P1" s="342" t="s">
        <v>205</v>
      </c>
      <c r="Q1" s="343"/>
      <c r="R1" s="343"/>
      <c r="S1" s="344"/>
      <c r="T1" s="141"/>
      <c r="U1" s="141"/>
      <c r="V1" s="265" t="s">
        <v>24</v>
      </c>
    </row>
    <row r="2" spans="1:22" ht="71.25" customHeight="1">
      <c r="A2" s="272"/>
      <c r="B2" s="272"/>
      <c r="C2" s="272"/>
      <c r="D2" s="272"/>
      <c r="E2" s="345"/>
      <c r="F2" s="345"/>
      <c r="G2" s="345"/>
      <c r="H2" s="79" t="s">
        <v>148</v>
      </c>
      <c r="I2" s="79" t="s">
        <v>149</v>
      </c>
      <c r="J2" s="79" t="s">
        <v>202</v>
      </c>
      <c r="K2" s="79" t="s">
        <v>185</v>
      </c>
      <c r="L2" s="79" t="s">
        <v>212</v>
      </c>
      <c r="M2" s="242" t="s">
        <v>149</v>
      </c>
      <c r="N2" s="79" t="s">
        <v>202</v>
      </c>
      <c r="O2" s="79" t="s">
        <v>185</v>
      </c>
      <c r="P2" s="79" t="s">
        <v>148</v>
      </c>
      <c r="Q2" s="79" t="s">
        <v>149</v>
      </c>
      <c r="R2" s="79" t="s">
        <v>202</v>
      </c>
      <c r="S2" s="79" t="s">
        <v>185</v>
      </c>
      <c r="T2" s="10">
        <v>2012</v>
      </c>
      <c r="U2" s="10">
        <v>2013</v>
      </c>
      <c r="V2" s="272"/>
    </row>
    <row r="3" spans="1:22" ht="12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3</v>
      </c>
      <c r="M3" s="11">
        <v>4</v>
      </c>
      <c r="N3" s="11">
        <v>5</v>
      </c>
      <c r="O3" s="11">
        <v>6</v>
      </c>
      <c r="P3" s="11"/>
      <c r="Q3" s="11"/>
      <c r="R3" s="11"/>
      <c r="S3" s="11"/>
      <c r="T3" s="11">
        <v>9</v>
      </c>
      <c r="U3" s="11">
        <v>10</v>
      </c>
      <c r="V3" s="11">
        <v>11</v>
      </c>
    </row>
    <row r="4" spans="1:22" ht="38.25" customHeight="1">
      <c r="A4" s="38">
        <v>2</v>
      </c>
      <c r="B4" s="252" t="s">
        <v>69</v>
      </c>
      <c r="C4" s="396"/>
      <c r="D4" s="396"/>
      <c r="E4" s="396"/>
      <c r="F4" s="396"/>
      <c r="G4" s="397"/>
      <c r="H4" s="12"/>
      <c r="I4" s="12"/>
      <c r="J4" s="12"/>
      <c r="K4" s="12"/>
      <c r="L4" s="196"/>
      <c r="M4" s="12"/>
      <c r="N4" s="12"/>
      <c r="O4" s="12"/>
      <c r="P4" s="12"/>
      <c r="Q4" s="12"/>
      <c r="R4" s="12"/>
      <c r="S4" s="12"/>
      <c r="T4" s="12"/>
      <c r="U4" s="12"/>
      <c r="V4" s="39"/>
    </row>
    <row r="5" spans="1:22" ht="14.25">
      <c r="A5" s="38">
        <v>2.1</v>
      </c>
      <c r="B5" s="80" t="s">
        <v>62</v>
      </c>
      <c r="C5" s="60"/>
      <c r="D5" s="60"/>
      <c r="E5" s="61"/>
      <c r="F5" s="61"/>
      <c r="G5" s="6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9"/>
    </row>
    <row r="6" spans="1:22" ht="27" customHeight="1">
      <c r="A6" s="274" t="s">
        <v>70</v>
      </c>
      <c r="B6" s="16" t="s">
        <v>105</v>
      </c>
      <c r="C6" s="270" t="s">
        <v>43</v>
      </c>
      <c r="D6" s="260" t="s">
        <v>47</v>
      </c>
      <c r="E6" s="245">
        <v>60</v>
      </c>
      <c r="F6" s="265" t="s">
        <v>17</v>
      </c>
      <c r="G6" s="25">
        <f aca="true" t="shared" si="0" ref="G6:O6">G7+G18+G20+G28+G29</f>
        <v>303729.7</v>
      </c>
      <c r="H6" s="25">
        <f t="shared" si="0"/>
        <v>294729.7</v>
      </c>
      <c r="I6" s="25">
        <f t="shared" si="0"/>
        <v>204290.911</v>
      </c>
      <c r="J6" s="25">
        <f t="shared" si="0"/>
        <v>223224.263</v>
      </c>
      <c r="K6" s="25">
        <f t="shared" si="0"/>
        <v>223224.263</v>
      </c>
      <c r="L6" s="25">
        <f t="shared" si="0"/>
        <v>9000</v>
      </c>
      <c r="M6" s="25">
        <f t="shared" si="0"/>
        <v>45309.467000000004</v>
      </c>
      <c r="N6" s="25">
        <f t="shared" si="0"/>
        <v>47394.595</v>
      </c>
      <c r="O6" s="25">
        <f t="shared" si="0"/>
        <v>57589.50200000001</v>
      </c>
      <c r="P6" s="25">
        <f>H6+L6</f>
        <v>303729.7</v>
      </c>
      <c r="Q6" s="25">
        <f aca="true" t="shared" si="1" ref="Q6:S23">I6+M6</f>
        <v>249600.378</v>
      </c>
      <c r="R6" s="25">
        <f t="shared" si="1"/>
        <v>270618.858</v>
      </c>
      <c r="S6" s="25">
        <f t="shared" si="1"/>
        <v>280813.765</v>
      </c>
      <c r="T6" s="140"/>
      <c r="U6" s="140"/>
      <c r="V6" s="390"/>
    </row>
    <row r="7" spans="1:22" ht="12.75">
      <c r="A7" s="275"/>
      <c r="B7" s="14" t="s">
        <v>129</v>
      </c>
      <c r="C7" s="267"/>
      <c r="D7" s="321"/>
      <c r="E7" s="277"/>
      <c r="F7" s="271"/>
      <c r="G7" s="256">
        <v>15339.5</v>
      </c>
      <c r="H7" s="256">
        <v>6339.5</v>
      </c>
      <c r="I7" s="340">
        <f>SUM(I9:I17)</f>
        <v>7466.714</v>
      </c>
      <c r="J7" s="340">
        <f>SUM(J9:J17)</f>
        <v>1992.661</v>
      </c>
      <c r="K7" s="340">
        <f>SUM(K9:K17)</f>
        <v>1992.661</v>
      </c>
      <c r="L7" s="256">
        <v>9000</v>
      </c>
      <c r="M7" s="340">
        <f>SUM(M9:M17)</f>
        <v>3601.308</v>
      </c>
      <c r="N7" s="340">
        <f>SUM(N9:N17)</f>
        <v>30093.836</v>
      </c>
      <c r="O7" s="340">
        <f>SUM(O9:O17)</f>
        <v>40288.74700000001</v>
      </c>
      <c r="P7" s="256">
        <f aca="true" t="shared" si="2" ref="P7:P49">H7+L7</f>
        <v>15339.5</v>
      </c>
      <c r="Q7" s="256">
        <f>I7+M7</f>
        <v>11068.022</v>
      </c>
      <c r="R7" s="256">
        <f t="shared" si="1"/>
        <v>32086.497</v>
      </c>
      <c r="S7" s="256">
        <f t="shared" si="1"/>
        <v>42281.40800000001</v>
      </c>
      <c r="T7" s="340">
        <f>SUM(T9:T17)</f>
        <v>299.077</v>
      </c>
      <c r="U7" s="340">
        <f>SUM(U9:U17)</f>
        <v>1992.661</v>
      </c>
      <c r="V7" s="391"/>
    </row>
    <row r="8" spans="1:22" ht="15" customHeight="1">
      <c r="A8" s="275"/>
      <c r="B8" s="40" t="s">
        <v>27</v>
      </c>
      <c r="C8" s="267"/>
      <c r="D8" s="321"/>
      <c r="E8" s="277"/>
      <c r="F8" s="271"/>
      <c r="G8" s="345"/>
      <c r="H8" s="345"/>
      <c r="I8" s="341"/>
      <c r="J8" s="341"/>
      <c r="K8" s="341"/>
      <c r="L8" s="273"/>
      <c r="M8" s="341"/>
      <c r="N8" s="341"/>
      <c r="O8" s="341"/>
      <c r="P8" s="273">
        <f t="shared" si="2"/>
        <v>0</v>
      </c>
      <c r="Q8" s="273">
        <f t="shared" si="1"/>
        <v>0</v>
      </c>
      <c r="R8" s="273">
        <f t="shared" si="1"/>
        <v>0</v>
      </c>
      <c r="S8" s="273">
        <f t="shared" si="1"/>
        <v>0</v>
      </c>
      <c r="T8" s="341"/>
      <c r="U8" s="341"/>
      <c r="V8" s="391"/>
    </row>
    <row r="9" spans="1:22" s="171" customFormat="1" ht="12.75" hidden="1">
      <c r="A9" s="275"/>
      <c r="B9" s="115" t="s">
        <v>235</v>
      </c>
      <c r="C9" s="267"/>
      <c r="D9" s="321"/>
      <c r="E9" s="277"/>
      <c r="F9" s="271"/>
      <c r="G9" s="170"/>
      <c r="H9" s="170"/>
      <c r="I9" s="119">
        <v>3.76</v>
      </c>
      <c r="J9" s="84">
        <v>3.757</v>
      </c>
      <c r="K9" s="84">
        <v>3.757</v>
      </c>
      <c r="L9" s="154"/>
      <c r="M9" s="154">
        <v>31.835</v>
      </c>
      <c r="N9" s="154">
        <v>31.835</v>
      </c>
      <c r="O9" s="214">
        <v>31.835</v>
      </c>
      <c r="P9" s="206">
        <f t="shared" si="2"/>
        <v>0</v>
      </c>
      <c r="Q9" s="206">
        <f t="shared" si="1"/>
        <v>35.595</v>
      </c>
      <c r="R9" s="206">
        <f t="shared" si="1"/>
        <v>35.592</v>
      </c>
      <c r="S9" s="206">
        <f t="shared" si="1"/>
        <v>35.592</v>
      </c>
      <c r="T9" s="154"/>
      <c r="U9" s="86">
        <v>3.757</v>
      </c>
      <c r="V9" s="391"/>
    </row>
    <row r="10" spans="1:22" s="171" customFormat="1" ht="12.75" hidden="1">
      <c r="A10" s="275"/>
      <c r="B10" s="75" t="s">
        <v>157</v>
      </c>
      <c r="C10" s="267"/>
      <c r="D10" s="321"/>
      <c r="E10" s="277"/>
      <c r="F10" s="271"/>
      <c r="G10" s="170"/>
      <c r="H10" s="170"/>
      <c r="I10" s="119"/>
      <c r="J10" s="84"/>
      <c r="K10" s="84"/>
      <c r="L10" s="154"/>
      <c r="M10" s="154"/>
      <c r="N10" s="154">
        <v>2.752</v>
      </c>
      <c r="O10" s="84">
        <v>2.752</v>
      </c>
      <c r="P10" s="206"/>
      <c r="Q10" s="206"/>
      <c r="R10" s="206"/>
      <c r="S10" s="206"/>
      <c r="T10" s="154"/>
      <c r="U10" s="86"/>
      <c r="V10" s="391"/>
    </row>
    <row r="11" spans="1:22" s="171" customFormat="1" ht="12.75" hidden="1">
      <c r="A11" s="275"/>
      <c r="B11" s="115" t="s">
        <v>141</v>
      </c>
      <c r="C11" s="267"/>
      <c r="D11" s="321"/>
      <c r="E11" s="277"/>
      <c r="F11" s="271"/>
      <c r="G11" s="170"/>
      <c r="H11" s="170"/>
      <c r="I11" s="119">
        <f>-272.986+271.041+59.61+280.526+44.442+46.583+50.87+113.255+114.822</f>
        <v>708.163</v>
      </c>
      <c r="J11" s="84"/>
      <c r="K11" s="84"/>
      <c r="L11" s="154"/>
      <c r="M11" s="154"/>
      <c r="N11" s="154"/>
      <c r="O11" s="84"/>
      <c r="P11" s="206">
        <f t="shared" si="2"/>
        <v>0</v>
      </c>
      <c r="Q11" s="206">
        <f t="shared" si="1"/>
        <v>708.163</v>
      </c>
      <c r="R11" s="206">
        <f t="shared" si="1"/>
        <v>0</v>
      </c>
      <c r="S11" s="206">
        <f t="shared" si="1"/>
        <v>0</v>
      </c>
      <c r="T11" s="154"/>
      <c r="U11" s="86"/>
      <c r="V11" s="391"/>
    </row>
    <row r="12" spans="1:22" s="171" customFormat="1" ht="12.75" hidden="1">
      <c r="A12" s="275"/>
      <c r="B12" s="115" t="s">
        <v>152</v>
      </c>
      <c r="C12" s="267"/>
      <c r="D12" s="321"/>
      <c r="E12" s="277"/>
      <c r="F12" s="271"/>
      <c r="G12" s="170"/>
      <c r="H12" s="170"/>
      <c r="I12" s="119">
        <f>-231.706+170.754+37.554+186.773+30.332+31.841+34.838+77.563+78.635</f>
        <v>416.584</v>
      </c>
      <c r="J12" s="84"/>
      <c r="K12" s="84"/>
      <c r="L12" s="154"/>
      <c r="M12" s="154"/>
      <c r="N12" s="221">
        <v>117.811</v>
      </c>
      <c r="O12" s="84">
        <v>117.811</v>
      </c>
      <c r="P12" s="206">
        <f t="shared" si="2"/>
        <v>0</v>
      </c>
      <c r="Q12" s="206">
        <f t="shared" si="1"/>
        <v>416.584</v>
      </c>
      <c r="R12" s="206">
        <f t="shared" si="1"/>
        <v>117.811</v>
      </c>
      <c r="S12" s="206">
        <f t="shared" si="1"/>
        <v>117.811</v>
      </c>
      <c r="T12" s="154"/>
      <c r="U12" s="86"/>
      <c r="V12" s="391"/>
    </row>
    <row r="13" spans="1:22" s="171" customFormat="1" ht="12.75" hidden="1">
      <c r="A13" s="275"/>
      <c r="B13" s="115" t="s">
        <v>153</v>
      </c>
      <c r="C13" s="267"/>
      <c r="D13" s="321"/>
      <c r="E13" s="277"/>
      <c r="F13" s="271"/>
      <c r="G13" s="170"/>
      <c r="H13" s="170"/>
      <c r="I13" s="119">
        <f>57.203+12.055+12.458+12.787+11.067+12.253+11.471+12.098+11.711+12.916+28.756+29.154</f>
        <v>223.92900000000003</v>
      </c>
      <c r="J13" s="84"/>
      <c r="K13" s="84"/>
      <c r="L13" s="154"/>
      <c r="M13" s="154"/>
      <c r="N13" s="228">
        <v>73.059</v>
      </c>
      <c r="O13" s="84">
        <v>73.059</v>
      </c>
      <c r="P13" s="206">
        <f t="shared" si="2"/>
        <v>0</v>
      </c>
      <c r="Q13" s="206">
        <f t="shared" si="1"/>
        <v>223.92900000000003</v>
      </c>
      <c r="R13" s="206">
        <f t="shared" si="1"/>
        <v>73.059</v>
      </c>
      <c r="S13" s="206">
        <f t="shared" si="1"/>
        <v>73.059</v>
      </c>
      <c r="T13" s="154"/>
      <c r="U13" s="86"/>
      <c r="V13" s="391"/>
    </row>
    <row r="14" spans="1:22" s="171" customFormat="1" ht="12.75" hidden="1">
      <c r="A14" s="275"/>
      <c r="B14" s="115" t="s">
        <v>154</v>
      </c>
      <c r="C14" s="267"/>
      <c r="D14" s="321"/>
      <c r="E14" s="277"/>
      <c r="F14" s="271"/>
      <c r="G14" s="170"/>
      <c r="H14" s="170"/>
      <c r="I14" s="119">
        <f>1310.314+2291.932+613.078+6.213-96.159</f>
        <v>4125.378000000001</v>
      </c>
      <c r="J14" s="84"/>
      <c r="K14" s="84"/>
      <c r="L14" s="154"/>
      <c r="M14" s="154"/>
      <c r="N14" s="221">
        <f>252.919+1059.163-1059.163+684.315+1450.48</f>
        <v>2387.714</v>
      </c>
      <c r="O14" s="84">
        <f>252.919+1059.163-1059.163+684.315+1450.48</f>
        <v>2387.714</v>
      </c>
      <c r="P14" s="206">
        <f t="shared" si="2"/>
        <v>0</v>
      </c>
      <c r="Q14" s="206">
        <f t="shared" si="1"/>
        <v>4125.378000000001</v>
      </c>
      <c r="R14" s="206">
        <f t="shared" si="1"/>
        <v>2387.714</v>
      </c>
      <c r="S14" s="206">
        <f t="shared" si="1"/>
        <v>2387.714</v>
      </c>
      <c r="T14" s="154"/>
      <c r="U14" s="86"/>
      <c r="V14" s="391"/>
    </row>
    <row r="15" spans="1:22" s="171" customFormat="1" ht="12.75" hidden="1">
      <c r="A15" s="275"/>
      <c r="B15" s="115" t="s">
        <v>206</v>
      </c>
      <c r="C15" s="267"/>
      <c r="D15" s="321"/>
      <c r="E15" s="277"/>
      <c r="F15" s="271"/>
      <c r="G15" s="170"/>
      <c r="H15" s="170"/>
      <c r="I15" s="119"/>
      <c r="J15" s="84"/>
      <c r="K15" s="84"/>
      <c r="L15" s="154"/>
      <c r="M15" s="154">
        <f>248.165+74.196+105.329+241.046+220.149+215.927+209.207+238.917+213.351+292.877+247.231+58.3+214.34+224.919+218.823+217.137</f>
        <v>3239.9139999999998</v>
      </c>
      <c r="N15" s="221">
        <f>9249.338+9584.217+8317.55</f>
        <v>27151.105</v>
      </c>
      <c r="O15" s="84">
        <f>9249.338+15309.198-15309.198+9891.128+18205.55</f>
        <v>37346.016</v>
      </c>
      <c r="P15" s="206"/>
      <c r="Q15" s="206">
        <f t="shared" si="1"/>
        <v>3239.9139999999998</v>
      </c>
      <c r="R15" s="206"/>
      <c r="S15" s="206"/>
      <c r="T15" s="154"/>
      <c r="U15" s="86"/>
      <c r="V15" s="391"/>
    </row>
    <row r="16" spans="1:22" s="171" customFormat="1" ht="12.75" hidden="1">
      <c r="A16" s="275"/>
      <c r="B16" s="115" t="s">
        <v>155</v>
      </c>
      <c r="C16" s="267"/>
      <c r="D16" s="321"/>
      <c r="E16" s="277"/>
      <c r="F16" s="271"/>
      <c r="G16" s="170"/>
      <c r="H16" s="170"/>
      <c r="I16" s="119">
        <f>31.48+92.232+175.361+114.844+784.915+350.216+439.852</f>
        <v>1988.8999999999996</v>
      </c>
      <c r="J16" s="86">
        <f>31.484+92.232+175.361+1689.827</f>
        <v>1988.904</v>
      </c>
      <c r="K16" s="86">
        <f>31.484+92.232+175.361+1689.827</f>
        <v>1988.904</v>
      </c>
      <c r="L16" s="86"/>
      <c r="M16" s="86">
        <f>110.721+55.902+50.66+18.699+15.254+51.076+14.95+7.897</f>
        <v>325.159</v>
      </c>
      <c r="N16" s="86">
        <f>110.721+55.902+18.699+51.077+15.254+50.66+14.95+7.897</f>
        <v>325.15999999999997</v>
      </c>
      <c r="O16" s="86">
        <f>110.721+55.902+18.699+51.077+15.254+50.66+14.95+7.897</f>
        <v>325.15999999999997</v>
      </c>
      <c r="P16" s="206">
        <f t="shared" si="2"/>
        <v>0</v>
      </c>
      <c r="Q16" s="206">
        <f t="shared" si="1"/>
        <v>2314.0589999999997</v>
      </c>
      <c r="R16" s="206">
        <f t="shared" si="1"/>
        <v>2314.064</v>
      </c>
      <c r="S16" s="206">
        <f t="shared" si="1"/>
        <v>2314.064</v>
      </c>
      <c r="T16" s="86">
        <f>31.484+92.232+175.361</f>
        <v>299.077</v>
      </c>
      <c r="U16" s="86">
        <f>31.484+92.232+175.361+1689.827</f>
        <v>1988.904</v>
      </c>
      <c r="V16" s="391"/>
    </row>
    <row r="17" spans="1:22" s="171" customFormat="1" ht="12.75" hidden="1">
      <c r="A17" s="275"/>
      <c r="B17" s="115" t="s">
        <v>208</v>
      </c>
      <c r="C17" s="267"/>
      <c r="D17" s="321"/>
      <c r="E17" s="277"/>
      <c r="F17" s="271"/>
      <c r="G17" s="170"/>
      <c r="H17" s="170"/>
      <c r="I17" s="117"/>
      <c r="J17" s="117"/>
      <c r="K17" s="117"/>
      <c r="L17" s="117"/>
      <c r="M17" s="117">
        <f>4.4</f>
        <v>4.4</v>
      </c>
      <c r="N17" s="117">
        <v>4.4</v>
      </c>
      <c r="O17" s="117">
        <v>4.4</v>
      </c>
      <c r="P17" s="206">
        <f t="shared" si="2"/>
        <v>0</v>
      </c>
      <c r="Q17" s="206">
        <f>I17+M17</f>
        <v>4.4</v>
      </c>
      <c r="R17" s="206">
        <f t="shared" si="1"/>
        <v>4.4</v>
      </c>
      <c r="S17" s="206">
        <f t="shared" si="1"/>
        <v>4.4</v>
      </c>
      <c r="T17" s="117"/>
      <c r="U17" s="117"/>
      <c r="V17" s="391"/>
    </row>
    <row r="18" spans="1:22" ht="12.75">
      <c r="A18" s="275"/>
      <c r="B18" s="23" t="s">
        <v>29</v>
      </c>
      <c r="C18" s="267"/>
      <c r="D18" s="321"/>
      <c r="E18" s="277"/>
      <c r="F18" s="271"/>
      <c r="G18" s="140">
        <f>SUM(G19)</f>
        <v>0</v>
      </c>
      <c r="H18" s="202">
        <f aca="true" t="shared" si="3" ref="H18:O18">SUM(H19)</f>
        <v>0</v>
      </c>
      <c r="I18" s="202">
        <f t="shared" si="3"/>
        <v>0</v>
      </c>
      <c r="J18" s="202">
        <f t="shared" si="3"/>
        <v>0</v>
      </c>
      <c r="K18" s="202">
        <f t="shared" si="3"/>
        <v>0</v>
      </c>
      <c r="L18" s="202">
        <f t="shared" si="3"/>
        <v>0</v>
      </c>
      <c r="M18" s="202">
        <f t="shared" si="3"/>
        <v>0</v>
      </c>
      <c r="N18" s="202">
        <f t="shared" si="3"/>
        <v>0</v>
      </c>
      <c r="O18" s="210">
        <f t="shared" si="3"/>
        <v>0</v>
      </c>
      <c r="P18" s="25">
        <f t="shared" si="2"/>
        <v>0</v>
      </c>
      <c r="Q18" s="25">
        <f t="shared" si="1"/>
        <v>0</v>
      </c>
      <c r="R18" s="25">
        <f t="shared" si="1"/>
        <v>0</v>
      </c>
      <c r="S18" s="25">
        <f t="shared" si="1"/>
        <v>0</v>
      </c>
      <c r="T18" s="140"/>
      <c r="U18" s="140"/>
      <c r="V18" s="391"/>
    </row>
    <row r="19" spans="1:22" s="205" customFormat="1" ht="13.5">
      <c r="A19" s="275"/>
      <c r="B19" s="203" t="s">
        <v>39</v>
      </c>
      <c r="C19" s="267"/>
      <c r="D19" s="321"/>
      <c r="E19" s="277"/>
      <c r="F19" s="271"/>
      <c r="G19" s="148">
        <f>SUM(H19:U19)</f>
        <v>0</v>
      </c>
      <c r="H19" s="148"/>
      <c r="I19" s="145"/>
      <c r="J19" s="145"/>
      <c r="K19" s="145"/>
      <c r="L19" s="145"/>
      <c r="M19" s="145"/>
      <c r="N19" s="145"/>
      <c r="O19" s="209"/>
      <c r="P19" s="204">
        <f t="shared" si="2"/>
        <v>0</v>
      </c>
      <c r="Q19" s="204">
        <f t="shared" si="1"/>
        <v>0</v>
      </c>
      <c r="R19" s="204">
        <f t="shared" si="1"/>
        <v>0</v>
      </c>
      <c r="S19" s="204">
        <f t="shared" si="1"/>
        <v>0</v>
      </c>
      <c r="T19" s="145"/>
      <c r="U19" s="145"/>
      <c r="V19" s="391"/>
    </row>
    <row r="20" spans="1:22" ht="12.75">
      <c r="A20" s="275"/>
      <c r="B20" s="23" t="s">
        <v>30</v>
      </c>
      <c r="C20" s="267"/>
      <c r="D20" s="321"/>
      <c r="E20" s="277"/>
      <c r="F20" s="271"/>
      <c r="G20" s="140">
        <f>SUM(G21:G25)</f>
        <v>288390.2</v>
      </c>
      <c r="H20" s="140">
        <f>SUM(H21:H25)</f>
        <v>288390.2</v>
      </c>
      <c r="I20" s="140">
        <f>I21+I23+I25</f>
        <v>196824.197</v>
      </c>
      <c r="J20" s="140">
        <f>J21+J23+J25</f>
        <v>221231.602</v>
      </c>
      <c r="K20" s="140">
        <f>K21+K23+K25</f>
        <v>221231.602</v>
      </c>
      <c r="L20" s="152">
        <f>L21+L23+L25</f>
        <v>0</v>
      </c>
      <c r="M20" s="152">
        <f>M21+M23+M25</f>
        <v>41708.15900000001</v>
      </c>
      <c r="N20" s="202">
        <f>N21+N23+N25</f>
        <v>17300.759</v>
      </c>
      <c r="O20" s="210">
        <f>O21+O23+O25</f>
        <v>17300.755</v>
      </c>
      <c r="P20" s="152">
        <f t="shared" si="2"/>
        <v>288390.2</v>
      </c>
      <c r="Q20" s="152">
        <f>I20+M20</f>
        <v>238532.356</v>
      </c>
      <c r="R20" s="152">
        <f t="shared" si="1"/>
        <v>238532.361</v>
      </c>
      <c r="S20" s="152">
        <f t="shared" si="1"/>
        <v>238532.35700000002</v>
      </c>
      <c r="T20" s="140">
        <f>T21+T23+T25</f>
        <v>0</v>
      </c>
      <c r="U20" s="140">
        <f>U21+U23+U25</f>
        <v>221231.602</v>
      </c>
      <c r="V20" s="391"/>
    </row>
    <row r="21" spans="1:22" ht="12.75">
      <c r="A21" s="275"/>
      <c r="B21" s="41" t="s">
        <v>31</v>
      </c>
      <c r="C21" s="267"/>
      <c r="D21" s="321"/>
      <c r="E21" s="277"/>
      <c r="F21" s="271"/>
      <c r="G21" s="139">
        <f>232349+6600</f>
        <v>238949</v>
      </c>
      <c r="H21" s="139">
        <f>232349+6600</f>
        <v>238949</v>
      </c>
      <c r="I21" s="139">
        <f>SUM(I22)</f>
        <v>154093.061</v>
      </c>
      <c r="J21" s="139">
        <f>SUM(J22)</f>
        <v>176078.771</v>
      </c>
      <c r="K21" s="139">
        <f>SUM(K22)</f>
        <v>176078.771</v>
      </c>
      <c r="L21" s="153">
        <f>SUM(L22)</f>
        <v>0</v>
      </c>
      <c r="M21" s="153">
        <f>SUM(M22)</f>
        <v>35366.475000000006</v>
      </c>
      <c r="N21" s="200">
        <f>SUM(N22)</f>
        <v>13380.769</v>
      </c>
      <c r="O21" s="211">
        <f>SUM(O22)</f>
        <v>13380.769</v>
      </c>
      <c r="P21" s="153">
        <f t="shared" si="2"/>
        <v>238949</v>
      </c>
      <c r="Q21" s="153">
        <f t="shared" si="1"/>
        <v>189459.536</v>
      </c>
      <c r="R21" s="153">
        <f t="shared" si="1"/>
        <v>189459.54</v>
      </c>
      <c r="S21" s="153">
        <f t="shared" si="1"/>
        <v>189459.54</v>
      </c>
      <c r="T21" s="139">
        <f>SUM(T22)</f>
        <v>0</v>
      </c>
      <c r="U21" s="139">
        <f>SUM(U22)</f>
        <v>176078.771</v>
      </c>
      <c r="V21" s="391"/>
    </row>
    <row r="22" spans="1:22" ht="12.75" hidden="1">
      <c r="A22" s="275"/>
      <c r="B22" s="87" t="s">
        <v>156</v>
      </c>
      <c r="C22" s="267"/>
      <c r="D22" s="321"/>
      <c r="E22" s="277"/>
      <c r="F22" s="271"/>
      <c r="G22" s="139"/>
      <c r="H22" s="139"/>
      <c r="I22" s="88">
        <f>3503.95+2653.66+5838.696+8868.28+5807.809+17710.946+49290.855+60418.865</f>
        <v>154093.061</v>
      </c>
      <c r="J22" s="89">
        <f>66000+1980+1523.948+2653.66+3869.15+442.392+6349.688+93259.933</f>
        <v>176078.771</v>
      </c>
      <c r="K22" s="91">
        <f>66000+1980+1523.948+2653.66+3869.15+442.392+6349.688+93259.933</f>
        <v>176078.771</v>
      </c>
      <c r="L22" s="91"/>
      <c r="M22" s="91">
        <f>10978.901+6472.207+5167.93+1331.218+1548.215+4311.737+261.973+2820.973+1377.654+672.129+423.538</f>
        <v>35366.475000000006</v>
      </c>
      <c r="N22" s="155">
        <f>1419.802+1331.218+761.739+4311.737+261.978+5294.295</f>
        <v>13380.769</v>
      </c>
      <c r="O22" s="91">
        <f>1419.802+1331.218+761.739+4311.737+261.978+5294.295</f>
        <v>13380.769</v>
      </c>
      <c r="P22" s="155">
        <f t="shared" si="2"/>
        <v>0</v>
      </c>
      <c r="Q22" s="91">
        <f>I22+M22</f>
        <v>189459.536</v>
      </c>
      <c r="R22" s="155">
        <f>J22+N22</f>
        <v>189459.54</v>
      </c>
      <c r="S22" s="155">
        <f>K22+O22</f>
        <v>189459.54</v>
      </c>
      <c r="T22" s="90"/>
      <c r="U22" s="91">
        <f>66000+1980+1523.948+2653.66+3869.15+442.392+6349.688+93259.933</f>
        <v>176078.771</v>
      </c>
      <c r="V22" s="391"/>
    </row>
    <row r="23" spans="1:22" ht="12.75">
      <c r="A23" s="275"/>
      <c r="B23" s="41" t="s">
        <v>32</v>
      </c>
      <c r="C23" s="267"/>
      <c r="D23" s="321"/>
      <c r="E23" s="277"/>
      <c r="F23" s="271"/>
      <c r="G23" s="139">
        <f>9216.9+680</f>
        <v>9896.9</v>
      </c>
      <c r="H23" s="139">
        <f>9216.9+680</f>
        <v>9896.9</v>
      </c>
      <c r="I23" s="92">
        <f>SUM(I24)</f>
        <v>9896.905999999999</v>
      </c>
      <c r="J23" s="139">
        <f>SUM(J24)</f>
        <v>9896.91</v>
      </c>
      <c r="K23" s="139">
        <f>SUM(K24)</f>
        <v>9896.91</v>
      </c>
      <c r="L23" s="153">
        <f>SUM(L24)</f>
        <v>0</v>
      </c>
      <c r="M23" s="153">
        <f>SUM(M24)</f>
        <v>0.004</v>
      </c>
      <c r="N23" s="200">
        <f>SUM(N24)</f>
        <v>0</v>
      </c>
      <c r="O23" s="211">
        <f>SUM(O24)</f>
        <v>0</v>
      </c>
      <c r="P23" s="153">
        <f t="shared" si="2"/>
        <v>9896.9</v>
      </c>
      <c r="Q23" s="153">
        <f t="shared" si="1"/>
        <v>9896.91</v>
      </c>
      <c r="R23" s="153">
        <f t="shared" si="1"/>
        <v>9896.91</v>
      </c>
      <c r="S23" s="153">
        <f t="shared" si="1"/>
        <v>9896.91</v>
      </c>
      <c r="T23" s="139">
        <f>SUM(T24)</f>
        <v>0</v>
      </c>
      <c r="U23" s="139">
        <f>SUM(U24)</f>
        <v>9896.91</v>
      </c>
      <c r="V23" s="391"/>
    </row>
    <row r="24" spans="1:22" ht="12.75" hidden="1">
      <c r="A24" s="275"/>
      <c r="B24" s="87" t="s">
        <v>156</v>
      </c>
      <c r="C24" s="267"/>
      <c r="D24" s="321"/>
      <c r="E24" s="277"/>
      <c r="F24" s="271"/>
      <c r="G24" s="139"/>
      <c r="H24" s="139"/>
      <c r="I24" s="88">
        <f>583.991+310.072+1478.046+967.968+2951.824+3605.005</f>
        <v>9896.905999999999</v>
      </c>
      <c r="J24" s="89">
        <f>2765.1+583.991+149.844+96.009+1034.632+5267.334</f>
        <v>9896.91</v>
      </c>
      <c r="K24" s="91">
        <f>2765.1+583.991+149.844+96.009+1034.632+5267.334</f>
        <v>9896.91</v>
      </c>
      <c r="L24" s="91"/>
      <c r="M24" s="91">
        <v>0.004</v>
      </c>
      <c r="N24" s="155">
        <v>0</v>
      </c>
      <c r="O24" s="91">
        <v>0</v>
      </c>
      <c r="P24" s="155">
        <f t="shared" si="2"/>
        <v>0</v>
      </c>
      <c r="Q24" s="91">
        <f aca="true" t="shared" si="4" ref="Q24:Q59">I24+M24</f>
        <v>9896.91</v>
      </c>
      <c r="R24" s="155">
        <f aca="true" t="shared" si="5" ref="R24:R59">J24+N24</f>
        <v>9896.91</v>
      </c>
      <c r="S24" s="155">
        <f aca="true" t="shared" si="6" ref="S24:S59">K24+O24</f>
        <v>9896.91</v>
      </c>
      <c r="T24" s="90"/>
      <c r="U24" s="91">
        <f>2765.1+583.991+149.844+96.009+1034.632+5267.334</f>
        <v>9896.91</v>
      </c>
      <c r="V24" s="391"/>
    </row>
    <row r="25" spans="1:22" ht="12.75">
      <c r="A25" s="275"/>
      <c r="B25" s="41" t="s">
        <v>33</v>
      </c>
      <c r="C25" s="267"/>
      <c r="D25" s="321"/>
      <c r="E25" s="277"/>
      <c r="F25" s="271"/>
      <c r="G25" s="139">
        <f>36867.6+2676.7</f>
        <v>39544.299999999996</v>
      </c>
      <c r="H25" s="139">
        <f>36867.6+2676.7</f>
        <v>39544.299999999996</v>
      </c>
      <c r="I25" s="92">
        <f>SUM(I26)</f>
        <v>32834.229999999996</v>
      </c>
      <c r="J25" s="139">
        <f>SUM(J26:J27)</f>
        <v>35255.921</v>
      </c>
      <c r="K25" s="139">
        <f>SUM(K26:K27)</f>
        <v>35255.921</v>
      </c>
      <c r="L25" s="153">
        <f>SUM(L26:L27)</f>
        <v>0</v>
      </c>
      <c r="M25" s="153">
        <f>SUM(M26:M27)</f>
        <v>6341.68</v>
      </c>
      <c r="N25" s="200">
        <f>SUM(N26:N27)</f>
        <v>3919.99</v>
      </c>
      <c r="O25" s="211">
        <f>SUM(O26:O27)</f>
        <v>3919.986</v>
      </c>
      <c r="P25" s="153">
        <f t="shared" si="2"/>
        <v>39544.299999999996</v>
      </c>
      <c r="Q25" s="153">
        <f t="shared" si="4"/>
        <v>39175.909999999996</v>
      </c>
      <c r="R25" s="153">
        <f t="shared" si="5"/>
        <v>39175.911</v>
      </c>
      <c r="S25" s="153">
        <f t="shared" si="6"/>
        <v>39175.907</v>
      </c>
      <c r="T25" s="139">
        <f>SUM(T26:T27)</f>
        <v>0</v>
      </c>
      <c r="U25" s="139">
        <f>SUM(U26:U27)</f>
        <v>35255.921</v>
      </c>
      <c r="V25" s="391"/>
    </row>
    <row r="26" spans="1:22" ht="12.75" hidden="1">
      <c r="A26" s="275"/>
      <c r="B26" s="87" t="s">
        <v>156</v>
      </c>
      <c r="C26" s="267"/>
      <c r="D26" s="321"/>
      <c r="E26" s="277"/>
      <c r="F26" s="271"/>
      <c r="G26" s="139"/>
      <c r="H26" s="139"/>
      <c r="I26" s="88">
        <f>1751.974+1625.105+4434.14+2903.905+8855.474+13263.632</f>
        <v>32834.229999999996</v>
      </c>
      <c r="J26" s="89">
        <f>8123.33+2676.67+490.286+3241.357+17516.108</f>
        <v>32047.751</v>
      </c>
      <c r="K26" s="91">
        <f>10800+490.286+3241.357+17516.108</f>
        <v>32047.751</v>
      </c>
      <c r="L26" s="91"/>
      <c r="M26" s="91">
        <f>43.33</f>
        <v>43.33</v>
      </c>
      <c r="N26" s="155">
        <f>786.48+43.33</f>
        <v>829.8100000000001</v>
      </c>
      <c r="O26" s="91">
        <f>786.48+43.326</f>
        <v>829.806</v>
      </c>
      <c r="P26" s="155">
        <f t="shared" si="2"/>
        <v>0</v>
      </c>
      <c r="Q26" s="91">
        <f t="shared" si="4"/>
        <v>32877.56</v>
      </c>
      <c r="R26" s="155">
        <f t="shared" si="5"/>
        <v>32877.561</v>
      </c>
      <c r="S26" s="155">
        <f t="shared" si="6"/>
        <v>32877.557</v>
      </c>
      <c r="T26" s="90"/>
      <c r="U26" s="91">
        <f>10800+490.286+3241.357+17516.108</f>
        <v>32047.751</v>
      </c>
      <c r="V26" s="391"/>
    </row>
    <row r="27" spans="1:22" ht="12.75" hidden="1">
      <c r="A27" s="275"/>
      <c r="B27" s="75" t="s">
        <v>157</v>
      </c>
      <c r="C27" s="267"/>
      <c r="D27" s="321"/>
      <c r="E27" s="277"/>
      <c r="F27" s="271"/>
      <c r="G27" s="139"/>
      <c r="H27" s="139"/>
      <c r="I27" s="88"/>
      <c r="J27" s="89">
        <v>3208.17</v>
      </c>
      <c r="K27" s="91">
        <v>3208.17</v>
      </c>
      <c r="L27" s="91"/>
      <c r="M27" s="91">
        <v>6298.35</v>
      </c>
      <c r="N27" s="155">
        <v>3090.18</v>
      </c>
      <c r="O27" s="91">
        <f>3090.18</f>
        <v>3090.18</v>
      </c>
      <c r="P27" s="155">
        <f t="shared" si="2"/>
        <v>0</v>
      </c>
      <c r="Q27" s="91">
        <f t="shared" si="4"/>
        <v>6298.35</v>
      </c>
      <c r="R27" s="155">
        <f t="shared" si="5"/>
        <v>6298.35</v>
      </c>
      <c r="S27" s="155">
        <f t="shared" si="6"/>
        <v>6298.35</v>
      </c>
      <c r="T27" s="90"/>
      <c r="U27" s="91">
        <v>3208.17</v>
      </c>
      <c r="V27" s="391"/>
    </row>
    <row r="28" spans="1:22" ht="12.75">
      <c r="A28" s="275"/>
      <c r="B28" s="23" t="s">
        <v>37</v>
      </c>
      <c r="C28" s="357"/>
      <c r="D28" s="321"/>
      <c r="E28" s="277"/>
      <c r="F28" s="271"/>
      <c r="G28" s="140">
        <f>SUM(H28:U28)</f>
        <v>0</v>
      </c>
      <c r="H28" s="140"/>
      <c r="I28" s="140"/>
      <c r="J28" s="140"/>
      <c r="K28" s="140"/>
      <c r="L28" s="140"/>
      <c r="M28" s="140"/>
      <c r="N28" s="140"/>
      <c r="O28" s="210"/>
      <c r="P28" s="152">
        <f t="shared" si="2"/>
        <v>0</v>
      </c>
      <c r="Q28" s="152">
        <f t="shared" si="4"/>
        <v>0</v>
      </c>
      <c r="R28" s="152">
        <f t="shared" si="5"/>
        <v>0</v>
      </c>
      <c r="S28" s="152">
        <f t="shared" si="6"/>
        <v>0</v>
      </c>
      <c r="T28" s="140"/>
      <c r="U28" s="140"/>
      <c r="V28" s="391"/>
    </row>
    <row r="29" spans="1:22" ht="12.75">
      <c r="A29" s="276"/>
      <c r="B29" s="23" t="s">
        <v>38</v>
      </c>
      <c r="C29" s="358"/>
      <c r="D29" s="322"/>
      <c r="E29" s="278"/>
      <c r="F29" s="272"/>
      <c r="G29" s="140">
        <f>SUM(H29:U29)</f>
        <v>0</v>
      </c>
      <c r="H29" s="140"/>
      <c r="I29" s="140"/>
      <c r="J29" s="140"/>
      <c r="K29" s="140"/>
      <c r="L29" s="140"/>
      <c r="M29" s="140"/>
      <c r="N29" s="140"/>
      <c r="O29" s="210"/>
      <c r="P29" s="152">
        <f t="shared" si="2"/>
        <v>0</v>
      </c>
      <c r="Q29" s="152">
        <f t="shared" si="4"/>
        <v>0</v>
      </c>
      <c r="R29" s="152">
        <f t="shared" si="5"/>
        <v>0</v>
      </c>
      <c r="S29" s="152">
        <f t="shared" si="6"/>
        <v>0</v>
      </c>
      <c r="T29" s="140"/>
      <c r="U29" s="140"/>
      <c r="V29" s="392"/>
    </row>
    <row r="30" spans="1:22" ht="41.25" customHeight="1">
      <c r="A30" s="274" t="s">
        <v>87</v>
      </c>
      <c r="B30" s="13" t="s">
        <v>13</v>
      </c>
      <c r="C30" s="270" t="s">
        <v>43</v>
      </c>
      <c r="D30" s="260" t="s">
        <v>47</v>
      </c>
      <c r="E30" s="265">
        <v>60</v>
      </c>
      <c r="F30" s="265" t="s">
        <v>17</v>
      </c>
      <c r="G30" s="25">
        <f aca="true" t="shared" si="7" ref="G30:L30">G31+G48+G50+G54+G56+G55</f>
        <v>967205.2</v>
      </c>
      <c r="H30" s="25">
        <f t="shared" si="7"/>
        <v>298575</v>
      </c>
      <c r="I30" s="25">
        <f t="shared" si="7"/>
        <v>208803.57799999998</v>
      </c>
      <c r="J30" s="25">
        <f t="shared" si="7"/>
        <v>17741.784</v>
      </c>
      <c r="K30" s="25">
        <f t="shared" si="7"/>
        <v>17741.784</v>
      </c>
      <c r="L30" s="25">
        <f t="shared" si="7"/>
        <v>668630.2</v>
      </c>
      <c r="M30" s="25">
        <f>M31+M54+M55+M56</f>
        <v>52982.663</v>
      </c>
      <c r="N30" s="25">
        <f>N31+N48+N50+N54+N56</f>
        <v>449582.236</v>
      </c>
      <c r="O30" s="25">
        <f>O31+O48+O50+O54+O56</f>
        <v>89647.272</v>
      </c>
      <c r="P30" s="25">
        <f>H30+L30</f>
        <v>967205.2</v>
      </c>
      <c r="Q30" s="25">
        <f t="shared" si="4"/>
        <v>261786.24099999998</v>
      </c>
      <c r="R30" s="25">
        <f t="shared" si="5"/>
        <v>467324.01999999996</v>
      </c>
      <c r="S30" s="25">
        <f t="shared" si="6"/>
        <v>107389.056</v>
      </c>
      <c r="T30" s="160"/>
      <c r="U30" s="160"/>
      <c r="V30" s="390"/>
    </row>
    <row r="31" spans="1:22" ht="12.75" customHeight="1">
      <c r="A31" s="275"/>
      <c r="B31" s="22" t="s">
        <v>126</v>
      </c>
      <c r="C31" s="267"/>
      <c r="D31" s="346"/>
      <c r="E31" s="271"/>
      <c r="F31" s="271"/>
      <c r="G31" s="256">
        <v>506105.2</v>
      </c>
      <c r="H31" s="323">
        <v>9000</v>
      </c>
      <c r="I31" s="340">
        <f>SUM(I33:I45)</f>
        <v>208803.57799999998</v>
      </c>
      <c r="J31" s="340">
        <f>SUM(J33:J45)</f>
        <v>17741.784</v>
      </c>
      <c r="K31" s="340">
        <f>SUM(K33:K45)</f>
        <v>17741.784</v>
      </c>
      <c r="L31" s="256">
        <v>497105.2</v>
      </c>
      <c r="M31" s="340">
        <f>SUM(M33:M47)</f>
        <v>26399.826</v>
      </c>
      <c r="N31" s="340">
        <f>SUM(N33:N47)</f>
        <v>53927.066999999995</v>
      </c>
      <c r="O31" s="340">
        <f>SUM(O33:O47)</f>
        <v>72925.868</v>
      </c>
      <c r="P31" s="256">
        <f t="shared" si="2"/>
        <v>506105.2</v>
      </c>
      <c r="Q31" s="256">
        <f t="shared" si="4"/>
        <v>235203.40399999998</v>
      </c>
      <c r="R31" s="256">
        <f t="shared" si="5"/>
        <v>71668.851</v>
      </c>
      <c r="S31" s="256">
        <f t="shared" si="6"/>
        <v>90667.652</v>
      </c>
      <c r="T31" s="340">
        <f>SUM(T33:T40)</f>
        <v>587.748</v>
      </c>
      <c r="U31" s="340">
        <f>SUM(U33:U45)</f>
        <v>20832.667</v>
      </c>
      <c r="V31" s="391"/>
    </row>
    <row r="32" spans="1:22" ht="12.75" customHeight="1">
      <c r="A32" s="275"/>
      <c r="B32" s="40" t="s">
        <v>27</v>
      </c>
      <c r="C32" s="267"/>
      <c r="D32" s="346"/>
      <c r="E32" s="271"/>
      <c r="F32" s="271"/>
      <c r="G32" s="345"/>
      <c r="H32" s="345"/>
      <c r="I32" s="341"/>
      <c r="J32" s="341"/>
      <c r="K32" s="341"/>
      <c r="L32" s="273"/>
      <c r="M32" s="341"/>
      <c r="N32" s="341"/>
      <c r="O32" s="341"/>
      <c r="P32" s="273">
        <f t="shared" si="2"/>
        <v>0</v>
      </c>
      <c r="Q32" s="273">
        <f t="shared" si="4"/>
        <v>0</v>
      </c>
      <c r="R32" s="273">
        <f t="shared" si="5"/>
        <v>0</v>
      </c>
      <c r="S32" s="273">
        <f t="shared" si="6"/>
        <v>0</v>
      </c>
      <c r="T32" s="341"/>
      <c r="U32" s="341"/>
      <c r="V32" s="391"/>
    </row>
    <row r="33" spans="1:22" ht="12.75" customHeight="1" hidden="1">
      <c r="A33" s="275"/>
      <c r="B33" s="75" t="s">
        <v>141</v>
      </c>
      <c r="C33" s="267"/>
      <c r="D33" s="346"/>
      <c r="E33" s="271"/>
      <c r="F33" s="271"/>
      <c r="G33" s="105"/>
      <c r="H33" s="105"/>
      <c r="I33" s="93">
        <f>-421.991+418.983+92.268+433.645+68.79+72.104+78.74+175.303+177.728</f>
        <v>1095.57</v>
      </c>
      <c r="J33" s="94"/>
      <c r="K33" s="94"/>
      <c r="L33" s="95"/>
      <c r="M33" s="91"/>
      <c r="N33" s="95"/>
      <c r="O33" s="215"/>
      <c r="P33" s="155">
        <f t="shared" si="2"/>
        <v>0</v>
      </c>
      <c r="Q33" s="91">
        <f t="shared" si="4"/>
        <v>1095.57</v>
      </c>
      <c r="R33" s="155">
        <f t="shared" si="5"/>
        <v>0</v>
      </c>
      <c r="S33" s="155">
        <f t="shared" si="6"/>
        <v>0</v>
      </c>
      <c r="T33" s="95"/>
      <c r="U33" s="96"/>
      <c r="V33" s="391"/>
    </row>
    <row r="34" spans="1:22" ht="12.75" customHeight="1" hidden="1">
      <c r="A34" s="275"/>
      <c r="B34" s="75" t="s">
        <v>152</v>
      </c>
      <c r="C34" s="267"/>
      <c r="D34" s="346"/>
      <c r="E34" s="271"/>
      <c r="F34" s="271"/>
      <c r="G34" s="105"/>
      <c r="H34" s="161"/>
      <c r="I34" s="93">
        <f>-358.177+263.958+58.128+288.719+46.949+49.285+53.925+120.056+121.716</f>
        <v>644.559</v>
      </c>
      <c r="J34" s="97"/>
      <c r="K34" s="97"/>
      <c r="L34" s="98"/>
      <c r="M34" s="91"/>
      <c r="N34" s="220">
        <v>182.345</v>
      </c>
      <c r="O34" s="94">
        <v>182.345</v>
      </c>
      <c r="P34" s="155">
        <f t="shared" si="2"/>
        <v>0</v>
      </c>
      <c r="Q34" s="91">
        <f t="shared" si="4"/>
        <v>644.559</v>
      </c>
      <c r="R34" s="155">
        <f t="shared" si="5"/>
        <v>182.345</v>
      </c>
      <c r="S34" s="155">
        <f t="shared" si="6"/>
        <v>182.345</v>
      </c>
      <c r="T34" s="98"/>
      <c r="U34" s="99"/>
      <c r="V34" s="391"/>
    </row>
    <row r="35" spans="1:22" ht="12.75" customHeight="1" hidden="1">
      <c r="A35" s="275"/>
      <c r="B35" s="75" t="s">
        <v>153</v>
      </c>
      <c r="C35" s="267"/>
      <c r="D35" s="346"/>
      <c r="E35" s="271"/>
      <c r="F35" s="271"/>
      <c r="G35" s="105"/>
      <c r="H35" s="105"/>
      <c r="I35" s="100">
        <f>88.427+18.659+19.283+19.767+17.108+18.941+17.733+18.701+18.102+19.992+44.51+45.126</f>
        <v>346.349</v>
      </c>
      <c r="J35" s="97"/>
      <c r="K35" s="97"/>
      <c r="L35" s="98"/>
      <c r="M35" s="91"/>
      <c r="N35" s="229">
        <v>47.203</v>
      </c>
      <c r="O35" s="94">
        <v>47.203</v>
      </c>
      <c r="P35" s="155">
        <f t="shared" si="2"/>
        <v>0</v>
      </c>
      <c r="Q35" s="91">
        <f t="shared" si="4"/>
        <v>346.349</v>
      </c>
      <c r="R35" s="155">
        <f t="shared" si="5"/>
        <v>47.203</v>
      </c>
      <c r="S35" s="155">
        <f t="shared" si="6"/>
        <v>47.203</v>
      </c>
      <c r="T35" s="98"/>
      <c r="U35" s="101"/>
      <c r="V35" s="391"/>
    </row>
    <row r="36" spans="1:22" ht="12.75" customHeight="1" hidden="1">
      <c r="A36" s="275"/>
      <c r="B36" s="75" t="s">
        <v>158</v>
      </c>
      <c r="C36" s="267"/>
      <c r="D36" s="346"/>
      <c r="E36" s="271"/>
      <c r="F36" s="271"/>
      <c r="G36" s="105"/>
      <c r="H36" s="105"/>
      <c r="I36" s="93">
        <f>2221.155+3877.673+948.183+10.514-148.646</f>
        <v>6908.879</v>
      </c>
      <c r="J36" s="97"/>
      <c r="K36" s="97"/>
      <c r="L36" s="98"/>
      <c r="M36" s="91"/>
      <c r="N36" s="220">
        <f>391.4+684.315-684.315+1059.163+2245.07</f>
        <v>3695.6330000000003</v>
      </c>
      <c r="O36" s="94">
        <f>391.46+684.315-684.315+1059.163+2245.011</f>
        <v>3695.634</v>
      </c>
      <c r="P36" s="155">
        <f t="shared" si="2"/>
        <v>0</v>
      </c>
      <c r="Q36" s="91">
        <f t="shared" si="4"/>
        <v>6908.879</v>
      </c>
      <c r="R36" s="155">
        <f t="shared" si="5"/>
        <v>3695.6330000000003</v>
      </c>
      <c r="S36" s="155">
        <f t="shared" si="6"/>
        <v>3695.634</v>
      </c>
      <c r="T36" s="98"/>
      <c r="U36" s="101"/>
      <c r="V36" s="391"/>
    </row>
    <row r="37" spans="1:22" ht="12.75" customHeight="1" hidden="1">
      <c r="A37" s="275"/>
      <c r="B37" s="75" t="s">
        <v>207</v>
      </c>
      <c r="C37" s="267"/>
      <c r="D37" s="346"/>
      <c r="E37" s="271"/>
      <c r="F37" s="271"/>
      <c r="G37" s="159"/>
      <c r="H37" s="159"/>
      <c r="I37" s="93"/>
      <c r="J37" s="185"/>
      <c r="K37" s="185"/>
      <c r="L37" s="98"/>
      <c r="M37" s="91">
        <f>384.123+114.844+163.034+373.105+340.76+334.224+323.823+369.81+330.238+453.331+382.678+90.24+331.768+348.142+338.707+336.097</f>
        <v>5014.924</v>
      </c>
      <c r="N37" s="95">
        <f>12842.7+1473.15+6667.12+12872.4+5120-171.1</f>
        <v>38804.270000000004</v>
      </c>
      <c r="O37" s="94">
        <f>14315.854+9891.128-9891.128+15309.198+28178.018</f>
        <v>57803.07</v>
      </c>
      <c r="P37" s="155"/>
      <c r="Q37" s="91">
        <f t="shared" si="4"/>
        <v>5014.924</v>
      </c>
      <c r="R37" s="155"/>
      <c r="S37" s="155"/>
      <c r="T37" s="98"/>
      <c r="U37" s="101"/>
      <c r="V37" s="391"/>
    </row>
    <row r="38" spans="1:22" ht="12.75" customHeight="1" hidden="1">
      <c r="A38" s="275"/>
      <c r="B38" s="75" t="s">
        <v>159</v>
      </c>
      <c r="C38" s="267"/>
      <c r="D38" s="346"/>
      <c r="E38" s="271"/>
      <c r="F38" s="271"/>
      <c r="G38" s="105"/>
      <c r="H38" s="105"/>
      <c r="I38" s="93">
        <v>1618.125</v>
      </c>
      <c r="J38" s="94">
        <v>200</v>
      </c>
      <c r="K38" s="94">
        <v>200</v>
      </c>
      <c r="L38" s="95"/>
      <c r="M38" s="91">
        <f>96.319+82.391+500+2779.626+200+200+200+200</f>
        <v>4258.336</v>
      </c>
      <c r="N38" s="95">
        <f>809.063+41.196+320.76+200+200+200</f>
        <v>1771.019</v>
      </c>
      <c r="O38" s="94">
        <f>809.063+41.196+320.76+200+200+200</f>
        <v>1771.019</v>
      </c>
      <c r="P38" s="155">
        <f t="shared" si="2"/>
        <v>0</v>
      </c>
      <c r="Q38" s="91">
        <f t="shared" si="4"/>
        <v>5876.461</v>
      </c>
      <c r="R38" s="155">
        <f t="shared" si="5"/>
        <v>1971.019</v>
      </c>
      <c r="S38" s="155">
        <f t="shared" si="6"/>
        <v>1971.019</v>
      </c>
      <c r="T38" s="98"/>
      <c r="U38" s="101"/>
      <c r="V38" s="391"/>
    </row>
    <row r="39" spans="1:22" ht="12.75" customHeight="1" hidden="1">
      <c r="A39" s="275"/>
      <c r="B39" s="75" t="s">
        <v>186</v>
      </c>
      <c r="C39" s="267"/>
      <c r="D39" s="346"/>
      <c r="E39" s="271"/>
      <c r="F39" s="271"/>
      <c r="G39" s="105"/>
      <c r="H39" s="105"/>
      <c r="I39" s="97"/>
      <c r="J39" s="162"/>
      <c r="K39" s="162"/>
      <c r="L39" s="162"/>
      <c r="M39" s="91"/>
      <c r="N39" s="162"/>
      <c r="O39" s="162"/>
      <c r="P39" s="155">
        <f t="shared" si="2"/>
        <v>0</v>
      </c>
      <c r="Q39" s="91">
        <f t="shared" si="4"/>
        <v>0</v>
      </c>
      <c r="R39" s="155">
        <f t="shared" si="5"/>
        <v>0</v>
      </c>
      <c r="S39" s="155">
        <f t="shared" si="6"/>
        <v>0</v>
      </c>
      <c r="T39" s="101">
        <f>293.874+293.874</f>
        <v>587.748</v>
      </c>
      <c r="U39" s="101">
        <f>293.874+293.874+391.832+490.405</f>
        <v>1469.9850000000001</v>
      </c>
      <c r="V39" s="391"/>
    </row>
    <row r="40" spans="1:22" ht="12.75" customHeight="1" hidden="1">
      <c r="A40" s="275"/>
      <c r="B40" s="75" t="s">
        <v>160</v>
      </c>
      <c r="C40" s="267"/>
      <c r="D40" s="346"/>
      <c r="E40" s="271"/>
      <c r="F40" s="271"/>
      <c r="G40" s="105"/>
      <c r="H40" s="105"/>
      <c r="I40" s="102">
        <f>89452.584+108483.531</f>
        <v>197936.115</v>
      </c>
      <c r="J40" s="126">
        <f>7000+1093.715+1000+7988.669</f>
        <v>17082.384</v>
      </c>
      <c r="K40" s="126">
        <f>7000+1093.715+1000+7988.669</f>
        <v>17082.384</v>
      </c>
      <c r="L40" s="156"/>
      <c r="M40" s="91">
        <f>1384.589+266.605+1426.433+935.511+5856.24+6265.357+771.774</f>
        <v>16906.509000000002</v>
      </c>
      <c r="N40" s="156">
        <f>7888.188+649.787+447.899+58.313+151.202</f>
        <v>9195.389</v>
      </c>
      <c r="O40" s="103">
        <f>7888.188+649.787+447.899+58.313+151.202</f>
        <v>9195.389</v>
      </c>
      <c r="P40" s="155">
        <f t="shared" si="2"/>
        <v>0</v>
      </c>
      <c r="Q40" s="91">
        <f t="shared" si="4"/>
        <v>214842.62399999998</v>
      </c>
      <c r="R40" s="155">
        <f t="shared" si="5"/>
        <v>26277.772999999997</v>
      </c>
      <c r="S40" s="155">
        <f t="shared" si="6"/>
        <v>26277.772999999997</v>
      </c>
      <c r="T40" s="104"/>
      <c r="U40" s="103">
        <f>7000+1093.715+1000+7988.669</f>
        <v>17082.384</v>
      </c>
      <c r="V40" s="391"/>
    </row>
    <row r="41" spans="1:22" ht="12.75" customHeight="1" hidden="1">
      <c r="A41" s="275"/>
      <c r="B41" s="75" t="s">
        <v>218</v>
      </c>
      <c r="C41" s="267"/>
      <c r="D41" s="346"/>
      <c r="E41" s="271"/>
      <c r="F41" s="271"/>
      <c r="G41" s="217"/>
      <c r="H41" s="217"/>
      <c r="I41" s="102"/>
      <c r="J41" s="103"/>
      <c r="K41" s="103"/>
      <c r="L41" s="156"/>
      <c r="M41" s="91"/>
      <c r="N41" s="156"/>
      <c r="O41" s="103"/>
      <c r="P41" s="155"/>
      <c r="Q41" s="91"/>
      <c r="R41" s="155"/>
      <c r="S41" s="155"/>
      <c r="T41" s="104"/>
      <c r="U41" s="103"/>
      <c r="V41" s="391"/>
    </row>
    <row r="42" spans="1:22" ht="12.75" customHeight="1" hidden="1">
      <c r="A42" s="275"/>
      <c r="B42" s="75" t="s">
        <v>219</v>
      </c>
      <c r="C42" s="267"/>
      <c r="D42" s="346"/>
      <c r="E42" s="271"/>
      <c r="F42" s="271"/>
      <c r="G42" s="223"/>
      <c r="H42" s="217"/>
      <c r="I42" s="102"/>
      <c r="J42" s="103"/>
      <c r="K42" s="103"/>
      <c r="L42" s="156"/>
      <c r="M42" s="91"/>
      <c r="N42" s="156"/>
      <c r="O42" s="103"/>
      <c r="P42" s="155"/>
      <c r="Q42" s="91"/>
      <c r="R42" s="155"/>
      <c r="S42" s="155"/>
      <c r="T42" s="104"/>
      <c r="U42" s="103"/>
      <c r="V42" s="391"/>
    </row>
    <row r="43" spans="1:22" ht="12.75" customHeight="1" hidden="1">
      <c r="A43" s="275"/>
      <c r="B43" s="75" t="s">
        <v>161</v>
      </c>
      <c r="C43" s="267"/>
      <c r="D43" s="346"/>
      <c r="E43" s="271"/>
      <c r="F43" s="271"/>
      <c r="G43" s="105"/>
      <c r="H43" s="105"/>
      <c r="I43" s="102">
        <v>253.981</v>
      </c>
      <c r="J43" s="103">
        <v>253.981</v>
      </c>
      <c r="K43" s="103">
        <v>253.981</v>
      </c>
      <c r="L43" s="156"/>
      <c r="M43" s="91"/>
      <c r="N43" s="156"/>
      <c r="O43" s="103"/>
      <c r="P43" s="155">
        <f t="shared" si="2"/>
        <v>0</v>
      </c>
      <c r="Q43" s="91">
        <f t="shared" si="4"/>
        <v>253.981</v>
      </c>
      <c r="R43" s="155">
        <f t="shared" si="5"/>
        <v>253.981</v>
      </c>
      <c r="S43" s="155">
        <f t="shared" si="6"/>
        <v>253.981</v>
      </c>
      <c r="T43" s="104"/>
      <c r="U43" s="103">
        <v>253.981</v>
      </c>
      <c r="V43" s="391"/>
    </row>
    <row r="44" spans="1:22" ht="12.75" customHeight="1" hidden="1">
      <c r="A44" s="275"/>
      <c r="B44" s="75" t="s">
        <v>162</v>
      </c>
      <c r="C44" s="267"/>
      <c r="D44" s="346"/>
      <c r="E44" s="271"/>
      <c r="F44" s="271"/>
      <c r="G44" s="105"/>
      <c r="H44" s="105"/>
      <c r="I44" s="105"/>
      <c r="J44" s="103">
        <f>222.666-17.247</f>
        <v>205.41899999999998</v>
      </c>
      <c r="K44" s="103">
        <f>222.666-17.247</f>
        <v>205.41899999999998</v>
      </c>
      <c r="L44" s="103"/>
      <c r="M44" s="103"/>
      <c r="N44" s="103"/>
      <c r="O44" s="103"/>
      <c r="P44" s="155">
        <f t="shared" si="2"/>
        <v>0</v>
      </c>
      <c r="Q44" s="91">
        <f t="shared" si="4"/>
        <v>0</v>
      </c>
      <c r="R44" s="155">
        <f t="shared" si="5"/>
        <v>205.41899999999998</v>
      </c>
      <c r="S44" s="155">
        <f t="shared" si="6"/>
        <v>205.41899999999998</v>
      </c>
      <c r="T44" s="103">
        <f>222.666-17.247</f>
        <v>205.41899999999998</v>
      </c>
      <c r="U44" s="103">
        <f>222.666-17.247</f>
        <v>205.41899999999998</v>
      </c>
      <c r="V44" s="391"/>
    </row>
    <row r="45" spans="1:22" ht="12.75" customHeight="1" hidden="1">
      <c r="A45" s="275"/>
      <c r="B45" s="75" t="s">
        <v>187</v>
      </c>
      <c r="C45" s="267"/>
      <c r="D45" s="346"/>
      <c r="E45" s="271"/>
      <c r="F45" s="271"/>
      <c r="G45" s="105"/>
      <c r="H45" s="105"/>
      <c r="I45" s="105"/>
      <c r="J45" s="162"/>
      <c r="K45" s="162"/>
      <c r="L45" s="163"/>
      <c r="M45" s="163"/>
      <c r="N45" s="163"/>
      <c r="O45" s="163"/>
      <c r="P45" s="155">
        <f t="shared" si="2"/>
        <v>0</v>
      </c>
      <c r="Q45" s="91">
        <f t="shared" si="4"/>
        <v>0</v>
      </c>
      <c r="R45" s="155">
        <f t="shared" si="5"/>
        <v>0</v>
      </c>
      <c r="S45" s="155">
        <f t="shared" si="6"/>
        <v>0</v>
      </c>
      <c r="T45" s="103">
        <f>660.043+350+442.165+369.69</f>
        <v>1821.8980000000001</v>
      </c>
      <c r="U45" s="103">
        <f>660.043+350+442.165+368.69</f>
        <v>1820.8980000000001</v>
      </c>
      <c r="V45" s="391"/>
    </row>
    <row r="46" spans="1:22" ht="12.75" customHeight="1" hidden="1">
      <c r="A46" s="275"/>
      <c r="B46" s="75" t="s">
        <v>214</v>
      </c>
      <c r="C46" s="267"/>
      <c r="D46" s="346"/>
      <c r="E46" s="271"/>
      <c r="F46" s="271"/>
      <c r="G46" s="212"/>
      <c r="H46" s="212"/>
      <c r="I46" s="212"/>
      <c r="J46" s="162"/>
      <c r="K46" s="162"/>
      <c r="L46" s="163"/>
      <c r="M46" s="91">
        <v>220.057</v>
      </c>
      <c r="N46" s="219">
        <f>98.936+121.121</f>
        <v>220.05700000000002</v>
      </c>
      <c r="O46" s="219">
        <f>98.936+121.121</f>
        <v>220.05700000000002</v>
      </c>
      <c r="P46" s="155"/>
      <c r="Q46" s="91"/>
      <c r="R46" s="155"/>
      <c r="S46" s="155"/>
      <c r="T46" s="103"/>
      <c r="U46" s="103"/>
      <c r="V46" s="391"/>
    </row>
    <row r="47" spans="1:22" ht="12.75" customHeight="1" hidden="1">
      <c r="A47" s="275"/>
      <c r="B47" s="115" t="s">
        <v>209</v>
      </c>
      <c r="C47" s="267"/>
      <c r="D47" s="346"/>
      <c r="E47" s="271"/>
      <c r="F47" s="271"/>
      <c r="G47" s="105"/>
      <c r="H47" s="105"/>
      <c r="I47" s="105"/>
      <c r="J47" s="164"/>
      <c r="K47" s="164"/>
      <c r="L47" s="105"/>
      <c r="M47" s="105"/>
      <c r="N47" s="208">
        <v>11.151</v>
      </c>
      <c r="O47" s="208">
        <v>11.151</v>
      </c>
      <c r="P47" s="155">
        <f t="shared" si="2"/>
        <v>0</v>
      </c>
      <c r="Q47" s="91">
        <f t="shared" si="4"/>
        <v>0</v>
      </c>
      <c r="R47" s="155">
        <f t="shared" si="5"/>
        <v>11.151</v>
      </c>
      <c r="S47" s="155">
        <f t="shared" si="6"/>
        <v>11.151</v>
      </c>
      <c r="T47" s="105"/>
      <c r="U47" s="105"/>
      <c r="V47" s="391"/>
    </row>
    <row r="48" spans="1:22" ht="12.75">
      <c r="A48" s="275"/>
      <c r="B48" s="23" t="s">
        <v>29</v>
      </c>
      <c r="C48" s="267"/>
      <c r="D48" s="346"/>
      <c r="E48" s="271"/>
      <c r="F48" s="271"/>
      <c r="G48" s="140">
        <f>SUM(G49)</f>
        <v>0</v>
      </c>
      <c r="H48" s="105"/>
      <c r="I48" s="105"/>
      <c r="J48" s="164"/>
      <c r="K48" s="164"/>
      <c r="L48" s="140">
        <f>SUM(L49)</f>
        <v>0</v>
      </c>
      <c r="M48" s="202">
        <f>SUM(M49)</f>
        <v>0</v>
      </c>
      <c r="N48" s="202">
        <f>SUM(N49)</f>
        <v>0</v>
      </c>
      <c r="O48" s="202">
        <f>SUM(O49)</f>
        <v>0</v>
      </c>
      <c r="P48" s="152">
        <f t="shared" si="2"/>
        <v>0</v>
      </c>
      <c r="Q48" s="152">
        <f t="shared" si="4"/>
        <v>0</v>
      </c>
      <c r="R48" s="152">
        <f t="shared" si="5"/>
        <v>0</v>
      </c>
      <c r="S48" s="152">
        <f t="shared" si="6"/>
        <v>0</v>
      </c>
      <c r="T48" s="105"/>
      <c r="U48" s="105"/>
      <c r="V48" s="391"/>
    </row>
    <row r="49" spans="1:22" ht="12.75">
      <c r="A49" s="275"/>
      <c r="B49" s="44" t="s">
        <v>39</v>
      </c>
      <c r="C49" s="267"/>
      <c r="D49" s="346"/>
      <c r="E49" s="271"/>
      <c r="F49" s="271"/>
      <c r="G49" s="139">
        <f>H49+T49+U49</f>
        <v>0</v>
      </c>
      <c r="H49" s="139"/>
      <c r="I49" s="139"/>
      <c r="J49" s="139"/>
      <c r="K49" s="139"/>
      <c r="L49" s="139">
        <f>M49+Y49+Z49</f>
        <v>0</v>
      </c>
      <c r="M49" s="139"/>
      <c r="N49" s="139"/>
      <c r="O49" s="139"/>
      <c r="P49" s="153">
        <f t="shared" si="2"/>
        <v>0</v>
      </c>
      <c r="Q49" s="153">
        <f t="shared" si="4"/>
        <v>0</v>
      </c>
      <c r="R49" s="153">
        <f t="shared" si="5"/>
        <v>0</v>
      </c>
      <c r="S49" s="153">
        <f t="shared" si="6"/>
        <v>0</v>
      </c>
      <c r="T49" s="139"/>
      <c r="U49" s="165"/>
      <c r="V49" s="391"/>
    </row>
    <row r="50" spans="1:22" ht="12.75">
      <c r="A50" s="275"/>
      <c r="B50" s="23" t="s">
        <v>30</v>
      </c>
      <c r="C50" s="267"/>
      <c r="D50" s="346"/>
      <c r="E50" s="271"/>
      <c r="F50" s="271"/>
      <c r="G50" s="140">
        <f>SUM(G51:G53)</f>
        <v>0</v>
      </c>
      <c r="H50" s="166"/>
      <c r="I50" s="166"/>
      <c r="J50" s="166"/>
      <c r="K50" s="166"/>
      <c r="L50" s="140">
        <f>SUM(L51:L53)</f>
        <v>0</v>
      </c>
      <c r="M50" s="202">
        <f>SUM(M51:M53)</f>
        <v>0</v>
      </c>
      <c r="N50" s="202">
        <f>SUM(N51:N53)</f>
        <v>0</v>
      </c>
      <c r="O50" s="202">
        <f>SUM(O51:O53)</f>
        <v>0</v>
      </c>
      <c r="P50" s="152">
        <f>H50+L50</f>
        <v>0</v>
      </c>
      <c r="Q50" s="152">
        <f t="shared" si="4"/>
        <v>0</v>
      </c>
      <c r="R50" s="152">
        <f t="shared" si="5"/>
        <v>0</v>
      </c>
      <c r="S50" s="152">
        <f t="shared" si="6"/>
        <v>0</v>
      </c>
      <c r="T50" s="166"/>
      <c r="U50" s="105"/>
      <c r="V50" s="391"/>
    </row>
    <row r="51" spans="1:22" ht="12.75">
      <c r="A51" s="275"/>
      <c r="B51" s="41" t="s">
        <v>31</v>
      </c>
      <c r="C51" s="267"/>
      <c r="D51" s="346"/>
      <c r="E51" s="271"/>
      <c r="F51" s="271"/>
      <c r="G51" s="139">
        <v>0</v>
      </c>
      <c r="H51" s="165"/>
      <c r="I51" s="165"/>
      <c r="J51" s="165"/>
      <c r="K51" s="165"/>
      <c r="L51" s="139">
        <v>0</v>
      </c>
      <c r="M51" s="165"/>
      <c r="N51" s="165"/>
      <c r="O51" s="165"/>
      <c r="P51" s="153">
        <f>H51+L51</f>
        <v>0</v>
      </c>
      <c r="Q51" s="153">
        <f t="shared" si="4"/>
        <v>0</v>
      </c>
      <c r="R51" s="153">
        <f t="shared" si="5"/>
        <v>0</v>
      </c>
      <c r="S51" s="153">
        <f t="shared" si="6"/>
        <v>0</v>
      </c>
      <c r="T51" s="165"/>
      <c r="U51" s="167"/>
      <c r="V51" s="391"/>
    </row>
    <row r="52" spans="1:22" ht="12.75">
      <c r="A52" s="275"/>
      <c r="B52" s="41" t="s">
        <v>32</v>
      </c>
      <c r="C52" s="267"/>
      <c r="D52" s="346"/>
      <c r="E52" s="271"/>
      <c r="F52" s="271"/>
      <c r="G52" s="139">
        <v>0</v>
      </c>
      <c r="H52" s="165"/>
      <c r="I52" s="165"/>
      <c r="J52" s="165"/>
      <c r="K52" s="165"/>
      <c r="L52" s="139">
        <v>0</v>
      </c>
      <c r="M52" s="165"/>
      <c r="N52" s="165"/>
      <c r="O52" s="165"/>
      <c r="P52" s="153">
        <f>H52+L52</f>
        <v>0</v>
      </c>
      <c r="Q52" s="153">
        <f t="shared" si="4"/>
        <v>0</v>
      </c>
      <c r="R52" s="153">
        <f t="shared" si="5"/>
        <v>0</v>
      </c>
      <c r="S52" s="153">
        <f t="shared" si="6"/>
        <v>0</v>
      </c>
      <c r="T52" s="165"/>
      <c r="U52" s="167"/>
      <c r="V52" s="391"/>
    </row>
    <row r="53" spans="1:22" ht="12.75">
      <c r="A53" s="275"/>
      <c r="B53" s="41" t="s">
        <v>33</v>
      </c>
      <c r="C53" s="267"/>
      <c r="D53" s="346"/>
      <c r="E53" s="271"/>
      <c r="F53" s="271"/>
      <c r="G53" s="139">
        <v>0</v>
      </c>
      <c r="H53" s="139"/>
      <c r="I53" s="139"/>
      <c r="J53" s="139"/>
      <c r="K53" s="139"/>
      <c r="L53" s="139">
        <v>0</v>
      </c>
      <c r="M53" s="139"/>
      <c r="N53" s="139"/>
      <c r="O53" s="139"/>
      <c r="P53" s="153">
        <f>H53+L53</f>
        <v>0</v>
      </c>
      <c r="Q53" s="153">
        <f t="shared" si="4"/>
        <v>0</v>
      </c>
      <c r="R53" s="153">
        <f t="shared" si="5"/>
        <v>0</v>
      </c>
      <c r="S53" s="153">
        <f t="shared" si="6"/>
        <v>0</v>
      </c>
      <c r="T53" s="139"/>
      <c r="U53" s="167"/>
      <c r="V53" s="391"/>
    </row>
    <row r="54" spans="1:22" ht="12.75">
      <c r="A54" s="275"/>
      <c r="B54" s="23" t="s">
        <v>37</v>
      </c>
      <c r="C54" s="357"/>
      <c r="D54" s="346"/>
      <c r="E54" s="346"/>
      <c r="F54" s="346"/>
      <c r="G54" s="140">
        <v>0</v>
      </c>
      <c r="H54" s="168"/>
      <c r="I54" s="168"/>
      <c r="J54" s="168"/>
      <c r="K54" s="168"/>
      <c r="L54" s="140">
        <v>0</v>
      </c>
      <c r="M54" s="202">
        <v>0</v>
      </c>
      <c r="N54" s="202">
        <v>0</v>
      </c>
      <c r="O54" s="216">
        <v>0</v>
      </c>
      <c r="P54" s="152">
        <f>H54+L54</f>
        <v>0</v>
      </c>
      <c r="Q54" s="152">
        <f t="shared" si="4"/>
        <v>0</v>
      </c>
      <c r="R54" s="152">
        <f t="shared" si="5"/>
        <v>0</v>
      </c>
      <c r="S54" s="152">
        <f t="shared" si="6"/>
        <v>0</v>
      </c>
      <c r="T54" s="65"/>
      <c r="U54" s="25"/>
      <c r="V54" s="391"/>
    </row>
    <row r="55" spans="1:22" ht="12.75">
      <c r="A55" s="275"/>
      <c r="B55" s="23" t="s">
        <v>38</v>
      </c>
      <c r="C55" s="357"/>
      <c r="D55" s="346"/>
      <c r="E55" s="346"/>
      <c r="F55" s="346"/>
      <c r="G55" s="140">
        <v>75000</v>
      </c>
      <c r="H55" s="168"/>
      <c r="I55" s="168"/>
      <c r="J55" s="168"/>
      <c r="K55" s="168"/>
      <c r="L55" s="169">
        <v>75000</v>
      </c>
      <c r="M55" s="168"/>
      <c r="N55" s="168"/>
      <c r="O55" s="168"/>
      <c r="P55" s="169">
        <f>H55+L55</f>
        <v>75000</v>
      </c>
      <c r="Q55" s="169">
        <f t="shared" si="4"/>
        <v>0</v>
      </c>
      <c r="R55" s="169">
        <f t="shared" si="5"/>
        <v>0</v>
      </c>
      <c r="S55" s="169">
        <f t="shared" si="6"/>
        <v>0</v>
      </c>
      <c r="T55" s="65">
        <v>75000</v>
      </c>
      <c r="U55" s="25"/>
      <c r="V55" s="391"/>
    </row>
    <row r="56" spans="1:22" ht="12.75">
      <c r="A56" s="276"/>
      <c r="B56" s="22" t="s">
        <v>118</v>
      </c>
      <c r="C56" s="358"/>
      <c r="D56" s="345"/>
      <c r="E56" s="345"/>
      <c r="F56" s="345"/>
      <c r="G56" s="140">
        <v>386100</v>
      </c>
      <c r="H56" s="140">
        <v>289575</v>
      </c>
      <c r="I56" s="140"/>
      <c r="J56" s="140"/>
      <c r="K56" s="140"/>
      <c r="L56" s="140">
        <f>G56-H56</f>
        <v>96525</v>
      </c>
      <c r="M56" s="239">
        <f>1481.137+7692.159+7924.628+5197.282+4287.631</f>
        <v>26582.837</v>
      </c>
      <c r="N56" s="243">
        <f>1110.853+5769.119+5943.471+3897.961+378933.765</f>
        <v>395655.169</v>
      </c>
      <c r="O56" s="243">
        <f>1110.853+5769.119+5943.471+3897.961</f>
        <v>16721.404</v>
      </c>
      <c r="P56" s="152">
        <f>H56+L56</f>
        <v>386100</v>
      </c>
      <c r="Q56" s="152">
        <f t="shared" si="4"/>
        <v>26582.837</v>
      </c>
      <c r="R56" s="152">
        <f t="shared" si="5"/>
        <v>395655.169</v>
      </c>
      <c r="S56" s="152">
        <f t="shared" si="6"/>
        <v>16721.404</v>
      </c>
      <c r="T56" s="140">
        <v>96525</v>
      </c>
      <c r="U56" s="25"/>
      <c r="V56" s="392"/>
    </row>
    <row r="57" spans="1:22" ht="12.75" customHeight="1">
      <c r="A57" s="274" t="s">
        <v>71</v>
      </c>
      <c r="B57" s="16" t="s">
        <v>137</v>
      </c>
      <c r="C57" s="389" t="s">
        <v>43</v>
      </c>
      <c r="D57" s="405" t="s">
        <v>135</v>
      </c>
      <c r="E57" s="256">
        <v>60</v>
      </c>
      <c r="F57" s="258" t="s">
        <v>17</v>
      </c>
      <c r="G57" s="25">
        <f>G58+G69+G71+G75+G76</f>
        <v>9837.7</v>
      </c>
      <c r="H57" s="25">
        <f>H58+H69+H71+H75+H76</f>
        <v>9837.7</v>
      </c>
      <c r="I57" s="25">
        <f aca="true" t="shared" si="8" ref="I57:O57">I58+I69+I71+I75+I76</f>
        <v>8455.113000000001</v>
      </c>
      <c r="J57" s="25">
        <f t="shared" si="8"/>
        <v>4793.543</v>
      </c>
      <c r="K57" s="25">
        <f t="shared" si="8"/>
        <v>4793.543</v>
      </c>
      <c r="L57" s="25">
        <f t="shared" si="8"/>
        <v>0</v>
      </c>
      <c r="M57" s="25">
        <f t="shared" si="8"/>
        <v>0</v>
      </c>
      <c r="N57" s="25">
        <f t="shared" si="8"/>
        <v>0</v>
      </c>
      <c r="O57" s="25">
        <f t="shared" si="8"/>
        <v>0</v>
      </c>
      <c r="P57" s="25">
        <f>H57+L57</f>
        <v>9837.7</v>
      </c>
      <c r="Q57" s="25">
        <f t="shared" si="4"/>
        <v>8455.113000000001</v>
      </c>
      <c r="R57" s="25">
        <f t="shared" si="5"/>
        <v>4793.543</v>
      </c>
      <c r="S57" s="25">
        <f t="shared" si="6"/>
        <v>4793.543</v>
      </c>
      <c r="T57" s="140"/>
      <c r="U57" s="140"/>
      <c r="V57" s="288"/>
    </row>
    <row r="58" spans="1:22" ht="12.75">
      <c r="A58" s="275"/>
      <c r="B58" s="22" t="s">
        <v>28</v>
      </c>
      <c r="C58" s="290"/>
      <c r="D58" s="411"/>
      <c r="E58" s="413"/>
      <c r="F58" s="326"/>
      <c r="G58" s="256">
        <f>SUM(H58)</f>
        <v>9837.7</v>
      </c>
      <c r="H58" s="256">
        <v>9837.7</v>
      </c>
      <c r="I58" s="256">
        <f>SUM(I65:I68)</f>
        <v>8455.113000000001</v>
      </c>
      <c r="J58" s="256">
        <f>SUM(J65:J68)</f>
        <v>4793.543</v>
      </c>
      <c r="K58" s="256">
        <f>SUM(K65:K68)</f>
        <v>4793.543</v>
      </c>
      <c r="L58" s="256">
        <v>0</v>
      </c>
      <c r="M58" s="134"/>
      <c r="N58" s="134"/>
      <c r="O58" s="134"/>
      <c r="P58" s="256">
        <f>H58+L58</f>
        <v>9837.7</v>
      </c>
      <c r="Q58" s="256">
        <f t="shared" si="4"/>
        <v>8455.113000000001</v>
      </c>
      <c r="R58" s="256">
        <f t="shared" si="5"/>
        <v>4793.543</v>
      </c>
      <c r="S58" s="256">
        <f t="shared" si="6"/>
        <v>4793.543</v>
      </c>
      <c r="T58" s="256"/>
      <c r="U58" s="256"/>
      <c r="V58" s="346"/>
    </row>
    <row r="59" spans="1:22" ht="12.75">
      <c r="A59" s="275"/>
      <c r="B59" s="40" t="s">
        <v>27</v>
      </c>
      <c r="C59" s="290"/>
      <c r="D59" s="411"/>
      <c r="E59" s="413"/>
      <c r="F59" s="326"/>
      <c r="G59" s="345"/>
      <c r="H59" s="273"/>
      <c r="I59" s="273"/>
      <c r="J59" s="273"/>
      <c r="K59" s="273"/>
      <c r="L59" s="273"/>
      <c r="M59" s="136"/>
      <c r="N59" s="136"/>
      <c r="O59" s="136"/>
      <c r="P59" s="273">
        <f>H59+L59</f>
        <v>0</v>
      </c>
      <c r="Q59" s="273">
        <f t="shared" si="4"/>
        <v>0</v>
      </c>
      <c r="R59" s="273">
        <f t="shared" si="5"/>
        <v>0</v>
      </c>
      <c r="S59" s="273">
        <f t="shared" si="6"/>
        <v>0</v>
      </c>
      <c r="T59" s="273"/>
      <c r="U59" s="273"/>
      <c r="V59" s="346"/>
    </row>
    <row r="60" spans="1:22" ht="12.75" customHeight="1" hidden="1">
      <c r="A60" s="275"/>
      <c r="B60" s="75" t="s">
        <v>140</v>
      </c>
      <c r="C60" s="290"/>
      <c r="D60" s="411"/>
      <c r="E60" s="413"/>
      <c r="F60" s="326"/>
      <c r="G60" s="105"/>
      <c r="H60" s="76">
        <v>303.26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36"/>
      <c r="U60" s="136"/>
      <c r="V60" s="346"/>
    </row>
    <row r="61" spans="1:22" ht="12.75" customHeight="1" hidden="1">
      <c r="A61" s="275"/>
      <c r="B61" s="75" t="s">
        <v>141</v>
      </c>
      <c r="C61" s="290"/>
      <c r="D61" s="411"/>
      <c r="E61" s="413"/>
      <c r="F61" s="326"/>
      <c r="G61" s="105"/>
      <c r="H61" s="76">
        <f>-919.371+912.82+196.99+198.681+155.912+152.136+142.429+150.207+145.399+146.865+153.941</f>
        <v>1436.009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36"/>
      <c r="U61" s="136"/>
      <c r="V61" s="346"/>
    </row>
    <row r="62" spans="1:22" ht="12.75" customHeight="1" hidden="1">
      <c r="A62" s="275"/>
      <c r="B62" s="75" t="s">
        <v>142</v>
      </c>
      <c r="C62" s="290"/>
      <c r="D62" s="411"/>
      <c r="E62" s="413"/>
      <c r="F62" s="326"/>
      <c r="G62" s="105"/>
      <c r="H62" s="76">
        <f>-780.345+575.072+124.103+125.168+101.058+103.833+97.208+102.516+99.235+105.222+100.236</f>
        <v>753.3059999999999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136"/>
      <c r="U62" s="136"/>
      <c r="V62" s="346"/>
    </row>
    <row r="63" spans="1:22" ht="12.75" customHeight="1" hidden="1">
      <c r="A63" s="275"/>
      <c r="B63" s="75" t="s">
        <v>143</v>
      </c>
      <c r="C63" s="290"/>
      <c r="D63" s="411"/>
      <c r="E63" s="413"/>
      <c r="F63" s="326"/>
      <c r="G63" s="105"/>
      <c r="H63" s="76">
        <f>192.652+39.837+41.169+43.065+37.273+41.266+38.633+40.743+39.439</f>
        <v>514.077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136"/>
      <c r="U63" s="136"/>
      <c r="V63" s="346"/>
    </row>
    <row r="64" spans="1:22" ht="12.75" customHeight="1" hidden="1">
      <c r="A64" s="275"/>
      <c r="B64" s="75" t="s">
        <v>144</v>
      </c>
      <c r="C64" s="290"/>
      <c r="D64" s="411"/>
      <c r="E64" s="413"/>
      <c r="F64" s="326"/>
      <c r="G64" s="105"/>
      <c r="H64" s="76">
        <f>1102.208+718.69+1700</f>
        <v>3520.898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36"/>
      <c r="U64" s="136"/>
      <c r="V64" s="346"/>
    </row>
    <row r="65" spans="1:22" s="171" customFormat="1" ht="13.5" customHeight="1" hidden="1">
      <c r="A65" s="275"/>
      <c r="B65" s="115" t="s">
        <v>140</v>
      </c>
      <c r="C65" s="290"/>
      <c r="D65" s="411"/>
      <c r="E65" s="413"/>
      <c r="F65" s="326"/>
      <c r="G65" s="170"/>
      <c r="H65" s="117"/>
      <c r="I65" s="119">
        <v>303.26</v>
      </c>
      <c r="J65" s="101">
        <f>293.874+293.874+391.832+490.405</f>
        <v>1469.9850000000001</v>
      </c>
      <c r="K65" s="101">
        <f>293.874+293.874+391.832+490.405</f>
        <v>1469.9850000000001</v>
      </c>
      <c r="L65" s="85"/>
      <c r="M65" s="85"/>
      <c r="N65" s="85"/>
      <c r="O65" s="85"/>
      <c r="P65" s="85"/>
      <c r="Q65" s="85"/>
      <c r="R65" s="85"/>
      <c r="S65" s="85"/>
      <c r="T65" s="118"/>
      <c r="U65" s="118"/>
      <c r="V65" s="346"/>
    </row>
    <row r="66" spans="1:22" s="171" customFormat="1" ht="13.5" customHeight="1" hidden="1">
      <c r="A66" s="275"/>
      <c r="B66" s="115" t="s">
        <v>173</v>
      </c>
      <c r="C66" s="290"/>
      <c r="D66" s="411"/>
      <c r="E66" s="413"/>
      <c r="F66" s="326"/>
      <c r="G66" s="170"/>
      <c r="H66" s="117"/>
      <c r="I66" s="119">
        <v>4828.295</v>
      </c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8"/>
      <c r="U66" s="118"/>
      <c r="V66" s="346"/>
    </row>
    <row r="67" spans="1:22" s="171" customFormat="1" ht="13.5" customHeight="1" hidden="1">
      <c r="A67" s="275"/>
      <c r="B67" s="115" t="s">
        <v>184</v>
      </c>
      <c r="C67" s="290"/>
      <c r="D67" s="411"/>
      <c r="E67" s="413"/>
      <c r="F67" s="326"/>
      <c r="G67" s="170"/>
      <c r="H67" s="117"/>
      <c r="I67" s="119">
        <f>1102.208+718.69+1502.66</f>
        <v>3323.558</v>
      </c>
      <c r="J67" s="103">
        <f>660.043+350+442.165+368.69+500+1002.66</f>
        <v>3323.558</v>
      </c>
      <c r="K67" s="103">
        <f>660.043+350+442.165+368.69+500+1002.66</f>
        <v>3323.558</v>
      </c>
      <c r="L67" s="103"/>
      <c r="M67" s="103"/>
      <c r="N67" s="103"/>
      <c r="O67" s="103"/>
      <c r="P67" s="103"/>
      <c r="Q67" s="103"/>
      <c r="R67" s="103"/>
      <c r="S67" s="103"/>
      <c r="T67" s="118"/>
      <c r="U67" s="118"/>
      <c r="V67" s="346"/>
    </row>
    <row r="68" spans="1:22" s="171" customFormat="1" ht="13.5" customHeight="1" hidden="1">
      <c r="A68" s="275"/>
      <c r="B68" s="115"/>
      <c r="C68" s="290"/>
      <c r="D68" s="411"/>
      <c r="E68" s="413"/>
      <c r="F68" s="326"/>
      <c r="G68" s="170"/>
      <c r="H68" s="117"/>
      <c r="I68" s="119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8"/>
      <c r="U68" s="118"/>
      <c r="V68" s="346"/>
    </row>
    <row r="69" spans="1:22" ht="12.75">
      <c r="A69" s="275"/>
      <c r="B69" s="23" t="s">
        <v>29</v>
      </c>
      <c r="C69" s="290"/>
      <c r="D69" s="411"/>
      <c r="E69" s="413"/>
      <c r="F69" s="326"/>
      <c r="G69" s="140">
        <v>0</v>
      </c>
      <c r="H69" s="136"/>
      <c r="I69" s="136"/>
      <c r="J69" s="136"/>
      <c r="K69" s="136"/>
      <c r="L69" s="140">
        <v>0</v>
      </c>
      <c r="M69" s="136"/>
      <c r="N69" s="136"/>
      <c r="O69" s="136"/>
      <c r="P69" s="152">
        <f>H69+L69</f>
        <v>0</v>
      </c>
      <c r="Q69" s="152">
        <f aca="true" t="shared" si="9" ref="Q69:S84">I69+M69</f>
        <v>0</v>
      </c>
      <c r="R69" s="152">
        <f t="shared" si="9"/>
        <v>0</v>
      </c>
      <c r="S69" s="152">
        <f t="shared" si="9"/>
        <v>0</v>
      </c>
      <c r="T69" s="136"/>
      <c r="U69" s="136"/>
      <c r="V69" s="346"/>
    </row>
    <row r="70" spans="1:22" ht="12.75">
      <c r="A70" s="275"/>
      <c r="B70" s="41" t="s">
        <v>39</v>
      </c>
      <c r="C70" s="290"/>
      <c r="D70" s="411"/>
      <c r="E70" s="413"/>
      <c r="F70" s="326"/>
      <c r="G70" s="139">
        <v>0</v>
      </c>
      <c r="H70" s="136"/>
      <c r="I70" s="136"/>
      <c r="J70" s="136"/>
      <c r="K70" s="136"/>
      <c r="L70" s="139">
        <v>0</v>
      </c>
      <c r="M70" s="136"/>
      <c r="N70" s="136"/>
      <c r="O70" s="136"/>
      <c r="P70" s="153">
        <f aca="true" t="shared" si="10" ref="P70:P87">H70+L70</f>
        <v>0</v>
      </c>
      <c r="Q70" s="153">
        <f t="shared" si="9"/>
        <v>0</v>
      </c>
      <c r="R70" s="153">
        <f t="shared" si="9"/>
        <v>0</v>
      </c>
      <c r="S70" s="153">
        <f t="shared" si="9"/>
        <v>0</v>
      </c>
      <c r="T70" s="136"/>
      <c r="U70" s="136"/>
      <c r="V70" s="346"/>
    </row>
    <row r="71" spans="1:22" ht="12.75">
      <c r="A71" s="275"/>
      <c r="B71" s="23" t="s">
        <v>30</v>
      </c>
      <c r="C71" s="290"/>
      <c r="D71" s="411"/>
      <c r="E71" s="413"/>
      <c r="F71" s="326"/>
      <c r="G71" s="140">
        <v>0</v>
      </c>
      <c r="H71" s="136"/>
      <c r="I71" s="136"/>
      <c r="J71" s="136"/>
      <c r="K71" s="136"/>
      <c r="L71" s="140">
        <v>0</v>
      </c>
      <c r="M71" s="136"/>
      <c r="N71" s="136"/>
      <c r="O71" s="136"/>
      <c r="P71" s="152">
        <f t="shared" si="10"/>
        <v>0</v>
      </c>
      <c r="Q71" s="152">
        <f t="shared" si="9"/>
        <v>0</v>
      </c>
      <c r="R71" s="152">
        <f t="shared" si="9"/>
        <v>0</v>
      </c>
      <c r="S71" s="152">
        <f t="shared" si="9"/>
        <v>0</v>
      </c>
      <c r="T71" s="136"/>
      <c r="U71" s="136"/>
      <c r="V71" s="346"/>
    </row>
    <row r="72" spans="1:22" ht="12.75">
      <c r="A72" s="275"/>
      <c r="B72" s="41" t="s">
        <v>31</v>
      </c>
      <c r="C72" s="357"/>
      <c r="D72" s="411"/>
      <c r="E72" s="413"/>
      <c r="F72" s="326"/>
      <c r="G72" s="139">
        <v>0</v>
      </c>
      <c r="H72" s="140"/>
      <c r="I72" s="140"/>
      <c r="J72" s="140"/>
      <c r="K72" s="140"/>
      <c r="L72" s="139">
        <v>0</v>
      </c>
      <c r="M72" s="140"/>
      <c r="N72" s="140"/>
      <c r="O72" s="140"/>
      <c r="P72" s="153">
        <f t="shared" si="10"/>
        <v>0</v>
      </c>
      <c r="Q72" s="153">
        <f t="shared" si="9"/>
        <v>0</v>
      </c>
      <c r="R72" s="153">
        <f t="shared" si="9"/>
        <v>0</v>
      </c>
      <c r="S72" s="153">
        <f t="shared" si="9"/>
        <v>0</v>
      </c>
      <c r="T72" s="140"/>
      <c r="U72" s="140"/>
      <c r="V72" s="346"/>
    </row>
    <row r="73" spans="1:22" ht="12.75">
      <c r="A73" s="275"/>
      <c r="B73" s="41" t="s">
        <v>32</v>
      </c>
      <c r="C73" s="357"/>
      <c r="D73" s="411"/>
      <c r="E73" s="413"/>
      <c r="F73" s="326"/>
      <c r="G73" s="139">
        <v>0</v>
      </c>
      <c r="H73" s="140"/>
      <c r="I73" s="140"/>
      <c r="J73" s="140"/>
      <c r="K73" s="140"/>
      <c r="L73" s="139">
        <v>0</v>
      </c>
      <c r="M73" s="140"/>
      <c r="N73" s="140"/>
      <c r="O73" s="140"/>
      <c r="P73" s="153">
        <f t="shared" si="10"/>
        <v>0</v>
      </c>
      <c r="Q73" s="153">
        <f t="shared" si="9"/>
        <v>0</v>
      </c>
      <c r="R73" s="153">
        <f t="shared" si="9"/>
        <v>0</v>
      </c>
      <c r="S73" s="153">
        <f t="shared" si="9"/>
        <v>0</v>
      </c>
      <c r="T73" s="140"/>
      <c r="U73" s="140"/>
      <c r="V73" s="346"/>
    </row>
    <row r="74" spans="1:22" ht="12.75">
      <c r="A74" s="275"/>
      <c r="B74" s="41" t="s">
        <v>33</v>
      </c>
      <c r="C74" s="357"/>
      <c r="D74" s="411"/>
      <c r="E74" s="413"/>
      <c r="F74" s="326"/>
      <c r="G74" s="139">
        <v>0</v>
      </c>
      <c r="H74" s="140"/>
      <c r="I74" s="140"/>
      <c r="J74" s="140"/>
      <c r="K74" s="140"/>
      <c r="L74" s="139">
        <v>0</v>
      </c>
      <c r="M74" s="140"/>
      <c r="N74" s="140"/>
      <c r="O74" s="140"/>
      <c r="P74" s="153">
        <f t="shared" si="10"/>
        <v>0</v>
      </c>
      <c r="Q74" s="153">
        <f t="shared" si="9"/>
        <v>0</v>
      </c>
      <c r="R74" s="153">
        <f t="shared" si="9"/>
        <v>0</v>
      </c>
      <c r="S74" s="153">
        <f t="shared" si="9"/>
        <v>0</v>
      </c>
      <c r="T74" s="140"/>
      <c r="U74" s="140"/>
      <c r="V74" s="346"/>
    </row>
    <row r="75" spans="1:22" ht="12.75">
      <c r="A75" s="275"/>
      <c r="B75" s="23" t="s">
        <v>37</v>
      </c>
      <c r="C75" s="357"/>
      <c r="D75" s="411"/>
      <c r="E75" s="414"/>
      <c r="F75" s="346"/>
      <c r="G75" s="140">
        <v>0</v>
      </c>
      <c r="H75" s="140"/>
      <c r="I75" s="140"/>
      <c r="J75" s="140"/>
      <c r="K75" s="140"/>
      <c r="L75" s="140">
        <v>0</v>
      </c>
      <c r="M75" s="140"/>
      <c r="N75" s="140"/>
      <c r="O75" s="140"/>
      <c r="P75" s="152">
        <f t="shared" si="10"/>
        <v>0</v>
      </c>
      <c r="Q75" s="152">
        <f t="shared" si="9"/>
        <v>0</v>
      </c>
      <c r="R75" s="152">
        <f t="shared" si="9"/>
        <v>0</v>
      </c>
      <c r="S75" s="152">
        <f t="shared" si="9"/>
        <v>0</v>
      </c>
      <c r="T75" s="140"/>
      <c r="U75" s="140"/>
      <c r="V75" s="346"/>
    </row>
    <row r="76" spans="1:22" ht="12.75">
      <c r="A76" s="276"/>
      <c r="B76" s="23" t="s">
        <v>38</v>
      </c>
      <c r="C76" s="358"/>
      <c r="D76" s="412"/>
      <c r="E76" s="415"/>
      <c r="F76" s="345"/>
      <c r="G76" s="140">
        <v>0</v>
      </c>
      <c r="H76" s="140"/>
      <c r="I76" s="140"/>
      <c r="J76" s="140"/>
      <c r="K76" s="140"/>
      <c r="L76" s="140">
        <v>0</v>
      </c>
      <c r="M76" s="140"/>
      <c r="N76" s="140"/>
      <c r="O76" s="140"/>
      <c r="P76" s="152">
        <f t="shared" si="10"/>
        <v>0</v>
      </c>
      <c r="Q76" s="152">
        <f t="shared" si="9"/>
        <v>0</v>
      </c>
      <c r="R76" s="152">
        <f t="shared" si="9"/>
        <v>0</v>
      </c>
      <c r="S76" s="152">
        <f t="shared" si="9"/>
        <v>0</v>
      </c>
      <c r="T76" s="140"/>
      <c r="U76" s="140"/>
      <c r="V76" s="345"/>
    </row>
    <row r="77" spans="1:22" ht="12.75" customHeight="1" hidden="1">
      <c r="A77" s="274"/>
      <c r="B77" s="16" t="s">
        <v>136</v>
      </c>
      <c r="C77" s="389" t="s">
        <v>43</v>
      </c>
      <c r="D77" s="405" t="s">
        <v>135</v>
      </c>
      <c r="E77" s="256">
        <v>7.32</v>
      </c>
      <c r="F77" s="258" t="s">
        <v>18</v>
      </c>
      <c r="G77" s="25">
        <f>G78+G80+G82+G86+G87</f>
        <v>0</v>
      </c>
      <c r="H77" s="140"/>
      <c r="I77" s="140"/>
      <c r="J77" s="140"/>
      <c r="K77" s="140"/>
      <c r="L77" s="140"/>
      <c r="M77" s="140"/>
      <c r="N77" s="140"/>
      <c r="O77" s="140"/>
      <c r="P77" s="144">
        <f t="shared" si="10"/>
        <v>0</v>
      </c>
      <c r="Q77" s="144">
        <f t="shared" si="9"/>
        <v>0</v>
      </c>
      <c r="R77" s="144">
        <f t="shared" si="9"/>
        <v>0</v>
      </c>
      <c r="S77" s="144">
        <f t="shared" si="9"/>
        <v>0</v>
      </c>
      <c r="T77" s="140"/>
      <c r="U77" s="140"/>
      <c r="V77" s="289"/>
    </row>
    <row r="78" spans="1:22" ht="12.75" customHeight="1" hidden="1">
      <c r="A78" s="275"/>
      <c r="B78" s="22" t="s">
        <v>28</v>
      </c>
      <c r="C78" s="290"/>
      <c r="D78" s="411"/>
      <c r="E78" s="413"/>
      <c r="F78" s="326"/>
      <c r="G78" s="256">
        <f>H78+T78+U78</f>
        <v>0</v>
      </c>
      <c r="H78" s="256"/>
      <c r="I78" s="134"/>
      <c r="J78" s="134"/>
      <c r="K78" s="134"/>
      <c r="L78" s="134"/>
      <c r="M78" s="134"/>
      <c r="N78" s="134"/>
      <c r="O78" s="134"/>
      <c r="P78" s="144">
        <f t="shared" si="10"/>
        <v>0</v>
      </c>
      <c r="Q78" s="144">
        <f t="shared" si="9"/>
        <v>0</v>
      </c>
      <c r="R78" s="144">
        <f t="shared" si="9"/>
        <v>0</v>
      </c>
      <c r="S78" s="144">
        <f t="shared" si="9"/>
        <v>0</v>
      </c>
      <c r="T78" s="256"/>
      <c r="U78" s="256"/>
      <c r="V78" s="357"/>
    </row>
    <row r="79" spans="1:22" ht="12.75" customHeight="1" hidden="1">
      <c r="A79" s="275"/>
      <c r="B79" s="40" t="s">
        <v>27</v>
      </c>
      <c r="C79" s="290"/>
      <c r="D79" s="411"/>
      <c r="E79" s="413"/>
      <c r="F79" s="326"/>
      <c r="G79" s="345"/>
      <c r="H79" s="273"/>
      <c r="I79" s="136"/>
      <c r="J79" s="136"/>
      <c r="K79" s="136"/>
      <c r="L79" s="136"/>
      <c r="M79" s="136"/>
      <c r="N79" s="136"/>
      <c r="O79" s="136"/>
      <c r="P79" s="144">
        <f t="shared" si="10"/>
        <v>0</v>
      </c>
      <c r="Q79" s="144">
        <f t="shared" si="9"/>
        <v>0</v>
      </c>
      <c r="R79" s="144">
        <f t="shared" si="9"/>
        <v>0</v>
      </c>
      <c r="S79" s="144">
        <f t="shared" si="9"/>
        <v>0</v>
      </c>
      <c r="T79" s="273"/>
      <c r="U79" s="273"/>
      <c r="V79" s="357"/>
    </row>
    <row r="80" spans="1:22" ht="12.75" customHeight="1" hidden="1">
      <c r="A80" s="275"/>
      <c r="B80" s="23" t="s">
        <v>29</v>
      </c>
      <c r="C80" s="290"/>
      <c r="D80" s="411"/>
      <c r="E80" s="413"/>
      <c r="F80" s="326"/>
      <c r="G80" s="140">
        <f>SUM(G81)</f>
        <v>0</v>
      </c>
      <c r="H80" s="136"/>
      <c r="I80" s="136"/>
      <c r="J80" s="136"/>
      <c r="K80" s="136"/>
      <c r="L80" s="136"/>
      <c r="M80" s="136"/>
      <c r="N80" s="136"/>
      <c r="O80" s="136"/>
      <c r="P80" s="144">
        <f t="shared" si="10"/>
        <v>0</v>
      </c>
      <c r="Q80" s="144">
        <f t="shared" si="9"/>
        <v>0</v>
      </c>
      <c r="R80" s="144">
        <f t="shared" si="9"/>
        <v>0</v>
      </c>
      <c r="S80" s="144">
        <f t="shared" si="9"/>
        <v>0</v>
      </c>
      <c r="T80" s="136"/>
      <c r="U80" s="136"/>
      <c r="V80" s="357"/>
    </row>
    <row r="81" spans="1:22" ht="12.75" customHeight="1" hidden="1">
      <c r="A81" s="275"/>
      <c r="B81" s="41" t="s">
        <v>39</v>
      </c>
      <c r="C81" s="290"/>
      <c r="D81" s="411"/>
      <c r="E81" s="413"/>
      <c r="F81" s="326"/>
      <c r="G81" s="139">
        <f>SUM(H81:U81)</f>
        <v>0</v>
      </c>
      <c r="H81" s="136"/>
      <c r="I81" s="136"/>
      <c r="J81" s="136"/>
      <c r="K81" s="136"/>
      <c r="L81" s="136"/>
      <c r="M81" s="136"/>
      <c r="N81" s="136"/>
      <c r="O81" s="136"/>
      <c r="P81" s="144">
        <f t="shared" si="10"/>
        <v>0</v>
      </c>
      <c r="Q81" s="144">
        <f t="shared" si="9"/>
        <v>0</v>
      </c>
      <c r="R81" s="144">
        <f t="shared" si="9"/>
        <v>0</v>
      </c>
      <c r="S81" s="144">
        <f t="shared" si="9"/>
        <v>0</v>
      </c>
      <c r="T81" s="136"/>
      <c r="U81" s="136"/>
      <c r="V81" s="357"/>
    </row>
    <row r="82" spans="1:22" ht="12.75" customHeight="1" hidden="1">
      <c r="A82" s="275"/>
      <c r="B82" s="23" t="s">
        <v>30</v>
      </c>
      <c r="C82" s="290"/>
      <c r="D82" s="411"/>
      <c r="E82" s="413"/>
      <c r="F82" s="326"/>
      <c r="G82" s="140">
        <f>SUM(G83:G85)</f>
        <v>0</v>
      </c>
      <c r="H82" s="136"/>
      <c r="I82" s="136"/>
      <c r="J82" s="136"/>
      <c r="K82" s="136"/>
      <c r="L82" s="136"/>
      <c r="M82" s="136"/>
      <c r="N82" s="136"/>
      <c r="O82" s="136"/>
      <c r="P82" s="144">
        <f t="shared" si="10"/>
        <v>0</v>
      </c>
      <c r="Q82" s="144">
        <f t="shared" si="9"/>
        <v>0</v>
      </c>
      <c r="R82" s="144">
        <f t="shared" si="9"/>
        <v>0</v>
      </c>
      <c r="S82" s="144">
        <f t="shared" si="9"/>
        <v>0</v>
      </c>
      <c r="T82" s="136"/>
      <c r="U82" s="136"/>
      <c r="V82" s="357"/>
    </row>
    <row r="83" spans="1:22" ht="12.75" customHeight="1" hidden="1">
      <c r="A83" s="275"/>
      <c r="B83" s="41" t="s">
        <v>31</v>
      </c>
      <c r="C83" s="357"/>
      <c r="D83" s="411"/>
      <c r="E83" s="413"/>
      <c r="F83" s="326"/>
      <c r="G83" s="139">
        <f>SUM(H83:U83)</f>
        <v>0</v>
      </c>
      <c r="H83" s="140"/>
      <c r="I83" s="140"/>
      <c r="J83" s="140"/>
      <c r="K83" s="140"/>
      <c r="L83" s="140"/>
      <c r="M83" s="140"/>
      <c r="N83" s="140"/>
      <c r="O83" s="140"/>
      <c r="P83" s="144">
        <f t="shared" si="10"/>
        <v>0</v>
      </c>
      <c r="Q83" s="144">
        <f t="shared" si="9"/>
        <v>0</v>
      </c>
      <c r="R83" s="144">
        <f t="shared" si="9"/>
        <v>0</v>
      </c>
      <c r="S83" s="144">
        <f t="shared" si="9"/>
        <v>0</v>
      </c>
      <c r="T83" s="140"/>
      <c r="U83" s="140"/>
      <c r="V83" s="357"/>
    </row>
    <row r="84" spans="1:22" ht="12.75" customHeight="1" hidden="1">
      <c r="A84" s="275"/>
      <c r="B84" s="41" t="s">
        <v>32</v>
      </c>
      <c r="C84" s="357"/>
      <c r="D84" s="411"/>
      <c r="E84" s="413"/>
      <c r="F84" s="326"/>
      <c r="G84" s="139">
        <f>SUM(H84:U84)</f>
        <v>0</v>
      </c>
      <c r="H84" s="140"/>
      <c r="I84" s="140"/>
      <c r="J84" s="140"/>
      <c r="K84" s="140"/>
      <c r="L84" s="140"/>
      <c r="M84" s="140"/>
      <c r="N84" s="140"/>
      <c r="O84" s="140"/>
      <c r="P84" s="144">
        <f t="shared" si="10"/>
        <v>0</v>
      </c>
      <c r="Q84" s="144">
        <f t="shared" si="9"/>
        <v>0</v>
      </c>
      <c r="R84" s="144">
        <f t="shared" si="9"/>
        <v>0</v>
      </c>
      <c r="S84" s="144">
        <f t="shared" si="9"/>
        <v>0</v>
      </c>
      <c r="T84" s="140"/>
      <c r="U84" s="140"/>
      <c r="V84" s="357"/>
    </row>
    <row r="85" spans="1:22" ht="12.75" customHeight="1" hidden="1">
      <c r="A85" s="275"/>
      <c r="B85" s="41" t="s">
        <v>33</v>
      </c>
      <c r="C85" s="357"/>
      <c r="D85" s="411"/>
      <c r="E85" s="413"/>
      <c r="F85" s="326"/>
      <c r="G85" s="139">
        <f>SUM(H85:U85)</f>
        <v>0</v>
      </c>
      <c r="H85" s="140"/>
      <c r="I85" s="140"/>
      <c r="J85" s="140"/>
      <c r="K85" s="140"/>
      <c r="L85" s="140"/>
      <c r="M85" s="140"/>
      <c r="N85" s="140"/>
      <c r="O85" s="140"/>
      <c r="P85" s="144">
        <f t="shared" si="10"/>
        <v>0</v>
      </c>
      <c r="Q85" s="144">
        <f aca="true" t="shared" si="11" ref="Q85:Q134">I85+M85</f>
        <v>0</v>
      </c>
      <c r="R85" s="144">
        <f aca="true" t="shared" si="12" ref="R85:R134">J85+N85</f>
        <v>0</v>
      </c>
      <c r="S85" s="144">
        <f aca="true" t="shared" si="13" ref="S85:S134">K85+O85</f>
        <v>0</v>
      </c>
      <c r="T85" s="140"/>
      <c r="U85" s="140"/>
      <c r="V85" s="357"/>
    </row>
    <row r="86" spans="1:22" ht="12.75" customHeight="1" hidden="1">
      <c r="A86" s="275"/>
      <c r="B86" s="23" t="s">
        <v>37</v>
      </c>
      <c r="C86" s="357"/>
      <c r="D86" s="411"/>
      <c r="E86" s="414"/>
      <c r="F86" s="346"/>
      <c r="G86" s="140">
        <f>SUM(H86:U86)</f>
        <v>0</v>
      </c>
      <c r="H86" s="140"/>
      <c r="I86" s="140"/>
      <c r="J86" s="140"/>
      <c r="K86" s="140"/>
      <c r="L86" s="140"/>
      <c r="M86" s="140"/>
      <c r="N86" s="140"/>
      <c r="O86" s="140"/>
      <c r="P86" s="144">
        <f t="shared" si="10"/>
        <v>0</v>
      </c>
      <c r="Q86" s="144">
        <f t="shared" si="11"/>
        <v>0</v>
      </c>
      <c r="R86" s="144">
        <f t="shared" si="12"/>
        <v>0</v>
      </c>
      <c r="S86" s="144">
        <f t="shared" si="13"/>
        <v>0</v>
      </c>
      <c r="T86" s="140"/>
      <c r="U86" s="140"/>
      <c r="V86" s="357"/>
    </row>
    <row r="87" spans="1:22" ht="12.75" customHeight="1" hidden="1">
      <c r="A87" s="276"/>
      <c r="B87" s="23" t="s">
        <v>38</v>
      </c>
      <c r="C87" s="358"/>
      <c r="D87" s="412"/>
      <c r="E87" s="415"/>
      <c r="F87" s="345"/>
      <c r="G87" s="140">
        <f>SUM(H87:U87)</f>
        <v>0</v>
      </c>
      <c r="H87" s="140"/>
      <c r="I87" s="140"/>
      <c r="J87" s="140"/>
      <c r="K87" s="140"/>
      <c r="L87" s="140"/>
      <c r="M87" s="140"/>
      <c r="N87" s="140"/>
      <c r="O87" s="140"/>
      <c r="P87" s="144">
        <f t="shared" si="10"/>
        <v>0</v>
      </c>
      <c r="Q87" s="144">
        <f t="shared" si="11"/>
        <v>0</v>
      </c>
      <c r="R87" s="144">
        <f t="shared" si="12"/>
        <v>0</v>
      </c>
      <c r="S87" s="144">
        <f t="shared" si="13"/>
        <v>0</v>
      </c>
      <c r="T87" s="140"/>
      <c r="U87" s="140"/>
      <c r="V87" s="358"/>
    </row>
    <row r="88" spans="1:22" ht="40.5" customHeight="1">
      <c r="A88" s="274" t="s">
        <v>83</v>
      </c>
      <c r="B88" s="19" t="s">
        <v>81</v>
      </c>
      <c r="C88" s="389" t="s">
        <v>43</v>
      </c>
      <c r="D88" s="405" t="s">
        <v>49</v>
      </c>
      <c r="E88" s="258">
        <v>90</v>
      </c>
      <c r="F88" s="258" t="s">
        <v>18</v>
      </c>
      <c r="G88" s="25">
        <f>G89+G91+G93+G97+G98</f>
        <v>318143.1</v>
      </c>
      <c r="H88" s="25">
        <f>H89+H91+H93+H97+H98</f>
        <v>0</v>
      </c>
      <c r="I88" s="140"/>
      <c r="J88" s="140"/>
      <c r="K88" s="140"/>
      <c r="L88" s="25">
        <f>L89+L91+L93+L97+L98</f>
        <v>155738.1</v>
      </c>
      <c r="M88" s="140">
        <v>0</v>
      </c>
      <c r="N88" s="140">
        <v>0</v>
      </c>
      <c r="O88" s="140">
        <v>0</v>
      </c>
      <c r="P88" s="25">
        <f>H88+L88</f>
        <v>155738.1</v>
      </c>
      <c r="Q88" s="25">
        <f t="shared" si="11"/>
        <v>0</v>
      </c>
      <c r="R88" s="25">
        <f t="shared" si="12"/>
        <v>0</v>
      </c>
      <c r="S88" s="25">
        <f t="shared" si="13"/>
        <v>0</v>
      </c>
      <c r="T88" s="140"/>
      <c r="U88" s="140"/>
      <c r="V88" s="258"/>
    </row>
    <row r="89" spans="1:22" ht="12.75">
      <c r="A89" s="275"/>
      <c r="B89" s="22" t="s">
        <v>127</v>
      </c>
      <c r="C89" s="290"/>
      <c r="D89" s="406"/>
      <c r="E89" s="326"/>
      <c r="F89" s="326"/>
      <c r="G89" s="256">
        <v>318143.1</v>
      </c>
      <c r="H89" s="256"/>
      <c r="I89" s="134"/>
      <c r="J89" s="134"/>
      <c r="K89" s="134"/>
      <c r="L89" s="256">
        <v>155738.1</v>
      </c>
      <c r="M89" s="134"/>
      <c r="N89" s="134"/>
      <c r="O89" s="134"/>
      <c r="P89" s="256">
        <f>H89+L89</f>
        <v>155738.1</v>
      </c>
      <c r="Q89" s="256">
        <f t="shared" si="11"/>
        <v>0</v>
      </c>
      <c r="R89" s="256">
        <f t="shared" si="12"/>
        <v>0</v>
      </c>
      <c r="S89" s="256">
        <f t="shared" si="13"/>
        <v>0</v>
      </c>
      <c r="T89" s="256">
        <v>155738.1</v>
      </c>
      <c r="U89" s="256">
        <f>306994-142950.1+0.7+1639.6-3279.2</f>
        <v>162405</v>
      </c>
      <c r="V89" s="403"/>
    </row>
    <row r="90" spans="1:22" ht="12.75">
      <c r="A90" s="275"/>
      <c r="B90" s="40" t="s">
        <v>27</v>
      </c>
      <c r="C90" s="290"/>
      <c r="D90" s="406"/>
      <c r="E90" s="326"/>
      <c r="F90" s="326"/>
      <c r="G90" s="418"/>
      <c r="H90" s="273"/>
      <c r="I90" s="136"/>
      <c r="J90" s="136"/>
      <c r="K90" s="136"/>
      <c r="L90" s="273"/>
      <c r="M90" s="136"/>
      <c r="N90" s="136"/>
      <c r="O90" s="136"/>
      <c r="P90" s="273">
        <f>H90+L90</f>
        <v>0</v>
      </c>
      <c r="Q90" s="273">
        <f t="shared" si="11"/>
        <v>0</v>
      </c>
      <c r="R90" s="273">
        <f t="shared" si="12"/>
        <v>0</v>
      </c>
      <c r="S90" s="273">
        <f t="shared" si="13"/>
        <v>0</v>
      </c>
      <c r="T90" s="273"/>
      <c r="U90" s="273"/>
      <c r="V90" s="403"/>
    </row>
    <row r="91" spans="1:22" ht="12.75">
      <c r="A91" s="275"/>
      <c r="B91" s="23" t="s">
        <v>29</v>
      </c>
      <c r="C91" s="290"/>
      <c r="D91" s="406"/>
      <c r="E91" s="326"/>
      <c r="F91" s="326"/>
      <c r="G91" s="140">
        <f>SUM(G92)</f>
        <v>0</v>
      </c>
      <c r="H91" s="136"/>
      <c r="I91" s="136"/>
      <c r="J91" s="136"/>
      <c r="K91" s="136"/>
      <c r="L91" s="140">
        <f>SUM(L92)</f>
        <v>0</v>
      </c>
      <c r="M91" s="136"/>
      <c r="N91" s="136"/>
      <c r="O91" s="136"/>
      <c r="P91" s="152">
        <f>H91+L91</f>
        <v>0</v>
      </c>
      <c r="Q91" s="152">
        <f t="shared" si="11"/>
        <v>0</v>
      </c>
      <c r="R91" s="152">
        <f t="shared" si="12"/>
        <v>0</v>
      </c>
      <c r="S91" s="152">
        <f t="shared" si="13"/>
        <v>0</v>
      </c>
      <c r="T91" s="136"/>
      <c r="U91" s="136"/>
      <c r="V91" s="403"/>
    </row>
    <row r="92" spans="1:22" ht="12.75">
      <c r="A92" s="275"/>
      <c r="B92" s="41" t="s">
        <v>39</v>
      </c>
      <c r="C92" s="290"/>
      <c r="D92" s="406"/>
      <c r="E92" s="326"/>
      <c r="F92" s="326"/>
      <c r="G92" s="139">
        <v>0</v>
      </c>
      <c r="H92" s="136"/>
      <c r="I92" s="136"/>
      <c r="J92" s="136"/>
      <c r="K92" s="136"/>
      <c r="L92" s="139">
        <v>0</v>
      </c>
      <c r="M92" s="136"/>
      <c r="N92" s="136"/>
      <c r="O92" s="136"/>
      <c r="P92" s="153">
        <f aca="true" t="shared" si="14" ref="P92:P98">H92+L92</f>
        <v>0</v>
      </c>
      <c r="Q92" s="153">
        <f t="shared" si="11"/>
        <v>0</v>
      </c>
      <c r="R92" s="153">
        <f t="shared" si="12"/>
        <v>0</v>
      </c>
      <c r="S92" s="153">
        <f t="shared" si="13"/>
        <v>0</v>
      </c>
      <c r="T92" s="136"/>
      <c r="U92" s="136"/>
      <c r="V92" s="403"/>
    </row>
    <row r="93" spans="1:22" ht="12.75">
      <c r="A93" s="275"/>
      <c r="B93" s="23" t="s">
        <v>30</v>
      </c>
      <c r="C93" s="290"/>
      <c r="D93" s="406"/>
      <c r="E93" s="326"/>
      <c r="F93" s="326"/>
      <c r="G93" s="140">
        <v>0</v>
      </c>
      <c r="H93" s="136"/>
      <c r="I93" s="136"/>
      <c r="J93" s="136"/>
      <c r="K93" s="136"/>
      <c r="L93" s="140">
        <v>0</v>
      </c>
      <c r="M93" s="136"/>
      <c r="N93" s="136"/>
      <c r="O93" s="136"/>
      <c r="P93" s="152">
        <f t="shared" si="14"/>
        <v>0</v>
      </c>
      <c r="Q93" s="152">
        <f t="shared" si="11"/>
        <v>0</v>
      </c>
      <c r="R93" s="152">
        <f t="shared" si="12"/>
        <v>0</v>
      </c>
      <c r="S93" s="152">
        <f t="shared" si="13"/>
        <v>0</v>
      </c>
      <c r="T93" s="136"/>
      <c r="U93" s="136"/>
      <c r="V93" s="403"/>
    </row>
    <row r="94" spans="1:22" ht="12.75">
      <c r="A94" s="275"/>
      <c r="B94" s="41" t="s">
        <v>31</v>
      </c>
      <c r="C94" s="357"/>
      <c r="D94" s="406"/>
      <c r="E94" s="326"/>
      <c r="F94" s="326"/>
      <c r="G94" s="139">
        <v>0</v>
      </c>
      <c r="H94" s="140"/>
      <c r="I94" s="140"/>
      <c r="J94" s="140"/>
      <c r="K94" s="140"/>
      <c r="L94" s="139">
        <v>0</v>
      </c>
      <c r="M94" s="140"/>
      <c r="N94" s="140"/>
      <c r="O94" s="140"/>
      <c r="P94" s="153">
        <f t="shared" si="14"/>
        <v>0</v>
      </c>
      <c r="Q94" s="153">
        <f t="shared" si="11"/>
        <v>0</v>
      </c>
      <c r="R94" s="153">
        <f t="shared" si="12"/>
        <v>0</v>
      </c>
      <c r="S94" s="153">
        <f t="shared" si="13"/>
        <v>0</v>
      </c>
      <c r="T94" s="140"/>
      <c r="U94" s="140"/>
      <c r="V94" s="403"/>
    </row>
    <row r="95" spans="1:22" ht="12.75">
      <c r="A95" s="275"/>
      <c r="B95" s="41" t="s">
        <v>32</v>
      </c>
      <c r="C95" s="357"/>
      <c r="D95" s="406"/>
      <c r="E95" s="326"/>
      <c r="F95" s="326"/>
      <c r="G95" s="139">
        <v>0</v>
      </c>
      <c r="H95" s="140"/>
      <c r="I95" s="140"/>
      <c r="J95" s="140"/>
      <c r="K95" s="140"/>
      <c r="L95" s="139">
        <v>0</v>
      </c>
      <c r="M95" s="140"/>
      <c r="N95" s="140"/>
      <c r="O95" s="140"/>
      <c r="P95" s="153">
        <f t="shared" si="14"/>
        <v>0</v>
      </c>
      <c r="Q95" s="153">
        <f t="shared" si="11"/>
        <v>0</v>
      </c>
      <c r="R95" s="153">
        <f t="shared" si="12"/>
        <v>0</v>
      </c>
      <c r="S95" s="153">
        <f t="shared" si="13"/>
        <v>0</v>
      </c>
      <c r="T95" s="140"/>
      <c r="U95" s="140"/>
      <c r="V95" s="403"/>
    </row>
    <row r="96" spans="1:22" ht="12.75">
      <c r="A96" s="275"/>
      <c r="B96" s="41" t="s">
        <v>33</v>
      </c>
      <c r="C96" s="357"/>
      <c r="D96" s="406"/>
      <c r="E96" s="326"/>
      <c r="F96" s="326"/>
      <c r="G96" s="139">
        <v>0</v>
      </c>
      <c r="H96" s="140"/>
      <c r="I96" s="140"/>
      <c r="J96" s="140"/>
      <c r="K96" s="140"/>
      <c r="L96" s="139">
        <v>0</v>
      </c>
      <c r="M96" s="140"/>
      <c r="N96" s="140"/>
      <c r="O96" s="140"/>
      <c r="P96" s="153">
        <f t="shared" si="14"/>
        <v>0</v>
      </c>
      <c r="Q96" s="153">
        <f t="shared" si="11"/>
        <v>0</v>
      </c>
      <c r="R96" s="153">
        <f t="shared" si="12"/>
        <v>0</v>
      </c>
      <c r="S96" s="153">
        <f t="shared" si="13"/>
        <v>0</v>
      </c>
      <c r="T96" s="140"/>
      <c r="U96" s="140"/>
      <c r="V96" s="403"/>
    </row>
    <row r="97" spans="1:22" ht="12.75">
      <c r="A97" s="275"/>
      <c r="B97" s="23" t="s">
        <v>37</v>
      </c>
      <c r="C97" s="357"/>
      <c r="D97" s="407"/>
      <c r="E97" s="346"/>
      <c r="F97" s="346"/>
      <c r="G97" s="140">
        <v>0</v>
      </c>
      <c r="H97" s="140"/>
      <c r="I97" s="140"/>
      <c r="J97" s="140"/>
      <c r="K97" s="140"/>
      <c r="L97" s="140">
        <v>0</v>
      </c>
      <c r="M97" s="140"/>
      <c r="N97" s="140"/>
      <c r="O97" s="140"/>
      <c r="P97" s="152">
        <f t="shared" si="14"/>
        <v>0</v>
      </c>
      <c r="Q97" s="152">
        <f t="shared" si="11"/>
        <v>0</v>
      </c>
      <c r="R97" s="152">
        <f t="shared" si="12"/>
        <v>0</v>
      </c>
      <c r="S97" s="152">
        <f t="shared" si="13"/>
        <v>0</v>
      </c>
      <c r="T97" s="140"/>
      <c r="U97" s="140"/>
      <c r="V97" s="403"/>
    </row>
    <row r="98" spans="1:22" ht="12.75">
      <c r="A98" s="276"/>
      <c r="B98" s="23" t="s">
        <v>38</v>
      </c>
      <c r="C98" s="358"/>
      <c r="D98" s="408"/>
      <c r="E98" s="345"/>
      <c r="F98" s="345"/>
      <c r="G98" s="140">
        <v>0</v>
      </c>
      <c r="H98" s="140"/>
      <c r="I98" s="140"/>
      <c r="J98" s="140"/>
      <c r="K98" s="140"/>
      <c r="L98" s="140">
        <v>0</v>
      </c>
      <c r="M98" s="140"/>
      <c r="N98" s="140"/>
      <c r="O98" s="140"/>
      <c r="P98" s="152">
        <f t="shared" si="14"/>
        <v>0</v>
      </c>
      <c r="Q98" s="152">
        <f t="shared" si="11"/>
        <v>0</v>
      </c>
      <c r="R98" s="152">
        <f t="shared" si="12"/>
        <v>0</v>
      </c>
      <c r="S98" s="152">
        <f t="shared" si="13"/>
        <v>0</v>
      </c>
      <c r="T98" s="140"/>
      <c r="U98" s="140"/>
      <c r="V98" s="404"/>
    </row>
    <row r="99" spans="1:22" ht="25.5">
      <c r="A99" s="274" t="s">
        <v>109</v>
      </c>
      <c r="B99" s="19" t="s">
        <v>110</v>
      </c>
      <c r="C99" s="389" t="s">
        <v>43</v>
      </c>
      <c r="D99" s="405" t="s">
        <v>49</v>
      </c>
      <c r="E99" s="258"/>
      <c r="F99" s="258" t="s">
        <v>18</v>
      </c>
      <c r="G99" s="25">
        <f>G100+G102+G104+G108+G109</f>
        <v>1809.5</v>
      </c>
      <c r="H99" s="25">
        <f>H100+H102+H104+H108+H109</f>
        <v>0</v>
      </c>
      <c r="I99" s="140"/>
      <c r="J99" s="140"/>
      <c r="K99" s="140"/>
      <c r="L99" s="25">
        <f>L100+L102+L104+L108+L109</f>
        <v>164.5</v>
      </c>
      <c r="M99" s="140">
        <v>0</v>
      </c>
      <c r="N99" s="140">
        <v>0</v>
      </c>
      <c r="O99" s="140">
        <v>0</v>
      </c>
      <c r="P99" s="25">
        <f>H99+L99</f>
        <v>164.5</v>
      </c>
      <c r="Q99" s="25">
        <f t="shared" si="11"/>
        <v>0</v>
      </c>
      <c r="R99" s="25">
        <f t="shared" si="12"/>
        <v>0</v>
      </c>
      <c r="S99" s="25">
        <f t="shared" si="13"/>
        <v>0</v>
      </c>
      <c r="T99" s="140"/>
      <c r="U99" s="140"/>
      <c r="V99" s="172"/>
    </row>
    <row r="100" spans="1:22" ht="12.75">
      <c r="A100" s="275"/>
      <c r="B100" s="22" t="s">
        <v>127</v>
      </c>
      <c r="C100" s="290"/>
      <c r="D100" s="406"/>
      <c r="E100" s="326"/>
      <c r="F100" s="326"/>
      <c r="G100" s="256">
        <v>1809.5</v>
      </c>
      <c r="H100" s="256"/>
      <c r="I100" s="134"/>
      <c r="J100" s="134"/>
      <c r="K100" s="134"/>
      <c r="L100" s="256">
        <v>164.5</v>
      </c>
      <c r="M100" s="134"/>
      <c r="N100" s="134"/>
      <c r="O100" s="134"/>
      <c r="P100" s="256">
        <f>H100+L100</f>
        <v>164.5</v>
      </c>
      <c r="Q100" s="256">
        <f t="shared" si="11"/>
        <v>0</v>
      </c>
      <c r="R100" s="256">
        <f t="shared" si="12"/>
        <v>0</v>
      </c>
      <c r="S100" s="256">
        <f t="shared" si="13"/>
        <v>0</v>
      </c>
      <c r="T100" s="256">
        <v>164.5</v>
      </c>
      <c r="U100" s="256">
        <v>1645</v>
      </c>
      <c r="V100" s="172"/>
    </row>
    <row r="101" spans="1:22" ht="12.75">
      <c r="A101" s="275"/>
      <c r="B101" s="40" t="s">
        <v>27</v>
      </c>
      <c r="C101" s="290"/>
      <c r="D101" s="406"/>
      <c r="E101" s="326"/>
      <c r="F101" s="326"/>
      <c r="G101" s="345"/>
      <c r="H101" s="273"/>
      <c r="I101" s="136"/>
      <c r="J101" s="136"/>
      <c r="K101" s="136"/>
      <c r="L101" s="273"/>
      <c r="M101" s="136"/>
      <c r="N101" s="136"/>
      <c r="O101" s="136"/>
      <c r="P101" s="273">
        <f>H101+L101</f>
        <v>0</v>
      </c>
      <c r="Q101" s="273">
        <f t="shared" si="11"/>
        <v>0</v>
      </c>
      <c r="R101" s="273">
        <f t="shared" si="12"/>
        <v>0</v>
      </c>
      <c r="S101" s="273">
        <f t="shared" si="13"/>
        <v>0</v>
      </c>
      <c r="T101" s="273"/>
      <c r="U101" s="273"/>
      <c r="V101" s="172"/>
    </row>
    <row r="102" spans="1:22" ht="12.75">
      <c r="A102" s="275"/>
      <c r="B102" s="23" t="s">
        <v>29</v>
      </c>
      <c r="C102" s="290"/>
      <c r="D102" s="406"/>
      <c r="E102" s="326"/>
      <c r="F102" s="326"/>
      <c r="G102" s="140">
        <v>0</v>
      </c>
      <c r="H102" s="136"/>
      <c r="I102" s="136"/>
      <c r="J102" s="136"/>
      <c r="K102" s="136"/>
      <c r="L102" s="140">
        <v>0</v>
      </c>
      <c r="M102" s="136"/>
      <c r="N102" s="136"/>
      <c r="O102" s="136"/>
      <c r="P102" s="152">
        <f>H102+L102</f>
        <v>0</v>
      </c>
      <c r="Q102" s="152">
        <f t="shared" si="11"/>
        <v>0</v>
      </c>
      <c r="R102" s="152">
        <f t="shared" si="12"/>
        <v>0</v>
      </c>
      <c r="S102" s="152">
        <f t="shared" si="13"/>
        <v>0</v>
      </c>
      <c r="T102" s="136"/>
      <c r="U102" s="136"/>
      <c r="V102" s="172"/>
    </row>
    <row r="103" spans="1:22" ht="12.75">
      <c r="A103" s="275"/>
      <c r="B103" s="41" t="s">
        <v>39</v>
      </c>
      <c r="C103" s="290"/>
      <c r="D103" s="406"/>
      <c r="E103" s="326"/>
      <c r="F103" s="326"/>
      <c r="G103" s="139">
        <v>0</v>
      </c>
      <c r="H103" s="136"/>
      <c r="I103" s="136"/>
      <c r="J103" s="136"/>
      <c r="K103" s="136"/>
      <c r="L103" s="139">
        <v>0</v>
      </c>
      <c r="M103" s="136"/>
      <c r="N103" s="136"/>
      <c r="O103" s="136"/>
      <c r="P103" s="153">
        <f aca="true" t="shared" si="15" ref="P103:P109">H103+L103</f>
        <v>0</v>
      </c>
      <c r="Q103" s="153">
        <f t="shared" si="11"/>
        <v>0</v>
      </c>
      <c r="R103" s="153">
        <f t="shared" si="12"/>
        <v>0</v>
      </c>
      <c r="S103" s="153">
        <f t="shared" si="13"/>
        <v>0</v>
      </c>
      <c r="T103" s="136"/>
      <c r="U103" s="136"/>
      <c r="V103" s="172"/>
    </row>
    <row r="104" spans="1:22" ht="12.75">
      <c r="A104" s="275"/>
      <c r="B104" s="23" t="s">
        <v>30</v>
      </c>
      <c r="C104" s="290"/>
      <c r="D104" s="406"/>
      <c r="E104" s="326"/>
      <c r="F104" s="326"/>
      <c r="G104" s="140">
        <v>0</v>
      </c>
      <c r="H104" s="136"/>
      <c r="I104" s="136"/>
      <c r="J104" s="136"/>
      <c r="K104" s="136"/>
      <c r="L104" s="140">
        <v>0</v>
      </c>
      <c r="M104" s="136"/>
      <c r="N104" s="136"/>
      <c r="O104" s="136"/>
      <c r="P104" s="152">
        <f t="shared" si="15"/>
        <v>0</v>
      </c>
      <c r="Q104" s="152">
        <f t="shared" si="11"/>
        <v>0</v>
      </c>
      <c r="R104" s="152">
        <f t="shared" si="12"/>
        <v>0</v>
      </c>
      <c r="S104" s="152">
        <f t="shared" si="13"/>
        <v>0</v>
      </c>
      <c r="T104" s="136"/>
      <c r="U104" s="136"/>
      <c r="V104" s="172"/>
    </row>
    <row r="105" spans="1:22" ht="12.75">
      <c r="A105" s="275"/>
      <c r="B105" s="41" t="s">
        <v>31</v>
      </c>
      <c r="C105" s="357"/>
      <c r="D105" s="406"/>
      <c r="E105" s="326"/>
      <c r="F105" s="326"/>
      <c r="G105" s="139">
        <v>0</v>
      </c>
      <c r="H105" s="140"/>
      <c r="I105" s="140"/>
      <c r="J105" s="140"/>
      <c r="K105" s="140"/>
      <c r="L105" s="139">
        <v>0</v>
      </c>
      <c r="M105" s="140"/>
      <c r="N105" s="140"/>
      <c r="O105" s="140"/>
      <c r="P105" s="153">
        <f t="shared" si="15"/>
        <v>0</v>
      </c>
      <c r="Q105" s="153">
        <f t="shared" si="11"/>
        <v>0</v>
      </c>
      <c r="R105" s="153">
        <f t="shared" si="12"/>
        <v>0</v>
      </c>
      <c r="S105" s="153">
        <f t="shared" si="13"/>
        <v>0</v>
      </c>
      <c r="T105" s="140"/>
      <c r="U105" s="140"/>
      <c r="V105" s="172"/>
    </row>
    <row r="106" spans="1:22" ht="12.75">
      <c r="A106" s="275"/>
      <c r="B106" s="41" t="s">
        <v>32</v>
      </c>
      <c r="C106" s="357"/>
      <c r="D106" s="406"/>
      <c r="E106" s="326"/>
      <c r="F106" s="326"/>
      <c r="G106" s="139">
        <v>0</v>
      </c>
      <c r="H106" s="140"/>
      <c r="I106" s="140"/>
      <c r="J106" s="140"/>
      <c r="K106" s="140"/>
      <c r="L106" s="139">
        <v>0</v>
      </c>
      <c r="M106" s="140"/>
      <c r="N106" s="140"/>
      <c r="O106" s="140"/>
      <c r="P106" s="153">
        <f t="shared" si="15"/>
        <v>0</v>
      </c>
      <c r="Q106" s="153">
        <f t="shared" si="11"/>
        <v>0</v>
      </c>
      <c r="R106" s="153">
        <f t="shared" si="12"/>
        <v>0</v>
      </c>
      <c r="S106" s="153">
        <f t="shared" si="13"/>
        <v>0</v>
      </c>
      <c r="T106" s="140"/>
      <c r="U106" s="140"/>
      <c r="V106" s="172"/>
    </row>
    <row r="107" spans="1:22" ht="12.75">
      <c r="A107" s="275"/>
      <c r="B107" s="41" t="s">
        <v>33</v>
      </c>
      <c r="C107" s="357"/>
      <c r="D107" s="406"/>
      <c r="E107" s="326"/>
      <c r="F107" s="326"/>
      <c r="G107" s="139">
        <v>0</v>
      </c>
      <c r="H107" s="140"/>
      <c r="I107" s="140"/>
      <c r="J107" s="140"/>
      <c r="K107" s="140"/>
      <c r="L107" s="139">
        <v>0</v>
      </c>
      <c r="M107" s="140"/>
      <c r="N107" s="140"/>
      <c r="O107" s="140"/>
      <c r="P107" s="153">
        <f t="shared" si="15"/>
        <v>0</v>
      </c>
      <c r="Q107" s="153">
        <f t="shared" si="11"/>
        <v>0</v>
      </c>
      <c r="R107" s="153">
        <f t="shared" si="12"/>
        <v>0</v>
      </c>
      <c r="S107" s="153">
        <f t="shared" si="13"/>
        <v>0</v>
      </c>
      <c r="T107" s="140"/>
      <c r="U107" s="140"/>
      <c r="V107" s="172"/>
    </row>
    <row r="108" spans="1:22" ht="12.75">
      <c r="A108" s="275"/>
      <c r="B108" s="23" t="s">
        <v>37</v>
      </c>
      <c r="C108" s="357"/>
      <c r="D108" s="407"/>
      <c r="E108" s="346"/>
      <c r="F108" s="346"/>
      <c r="G108" s="140">
        <v>0</v>
      </c>
      <c r="H108" s="140"/>
      <c r="I108" s="140"/>
      <c r="J108" s="140"/>
      <c r="K108" s="140"/>
      <c r="L108" s="140">
        <v>0</v>
      </c>
      <c r="M108" s="140"/>
      <c r="N108" s="140"/>
      <c r="O108" s="140"/>
      <c r="P108" s="152">
        <f t="shared" si="15"/>
        <v>0</v>
      </c>
      <c r="Q108" s="152">
        <f t="shared" si="11"/>
        <v>0</v>
      </c>
      <c r="R108" s="152">
        <f t="shared" si="12"/>
        <v>0</v>
      </c>
      <c r="S108" s="152">
        <f t="shared" si="13"/>
        <v>0</v>
      </c>
      <c r="T108" s="140"/>
      <c r="U108" s="140"/>
      <c r="V108" s="172"/>
    </row>
    <row r="109" spans="1:22" ht="12.75">
      <c r="A109" s="276"/>
      <c r="B109" s="23" t="s">
        <v>38</v>
      </c>
      <c r="C109" s="358"/>
      <c r="D109" s="408"/>
      <c r="E109" s="345"/>
      <c r="F109" s="345"/>
      <c r="G109" s="140">
        <v>0</v>
      </c>
      <c r="H109" s="140"/>
      <c r="I109" s="140"/>
      <c r="J109" s="140"/>
      <c r="K109" s="140"/>
      <c r="L109" s="140">
        <v>0</v>
      </c>
      <c r="M109" s="140"/>
      <c r="N109" s="140"/>
      <c r="O109" s="140"/>
      <c r="P109" s="152">
        <f t="shared" si="15"/>
        <v>0</v>
      </c>
      <c r="Q109" s="152">
        <f t="shared" si="11"/>
        <v>0</v>
      </c>
      <c r="R109" s="152">
        <f t="shared" si="12"/>
        <v>0</v>
      </c>
      <c r="S109" s="152">
        <f t="shared" si="13"/>
        <v>0</v>
      </c>
      <c r="T109" s="140"/>
      <c r="U109" s="140"/>
      <c r="V109" s="172"/>
    </row>
    <row r="110" spans="1:22" ht="25.5">
      <c r="A110" s="274" t="s">
        <v>130</v>
      </c>
      <c r="B110" s="19" t="s">
        <v>111</v>
      </c>
      <c r="C110" s="389" t="s">
        <v>43</v>
      </c>
      <c r="D110" s="405" t="s">
        <v>49</v>
      </c>
      <c r="E110" s="258"/>
      <c r="F110" s="258" t="s">
        <v>18</v>
      </c>
      <c r="G110" s="25">
        <f>G111+G113+G115+G119+G120</f>
        <v>3566.2</v>
      </c>
      <c r="H110" s="25">
        <f>H111+H113+H115+H119+H120</f>
        <v>0</v>
      </c>
      <c r="I110" s="140"/>
      <c r="J110" s="140"/>
      <c r="K110" s="140"/>
      <c r="L110" s="25">
        <f>L111+L113+L115+L119+L120</f>
        <v>324.2</v>
      </c>
      <c r="M110" s="140">
        <v>0</v>
      </c>
      <c r="N110" s="140">
        <v>0</v>
      </c>
      <c r="O110" s="140">
        <v>0</v>
      </c>
      <c r="P110" s="25">
        <f>H110+L110</f>
        <v>324.2</v>
      </c>
      <c r="Q110" s="25">
        <f t="shared" si="11"/>
        <v>0</v>
      </c>
      <c r="R110" s="25">
        <f t="shared" si="12"/>
        <v>0</v>
      </c>
      <c r="S110" s="25">
        <f t="shared" si="13"/>
        <v>0</v>
      </c>
      <c r="T110" s="140"/>
      <c r="U110" s="140"/>
      <c r="V110" s="172"/>
    </row>
    <row r="111" spans="1:22" ht="12.75">
      <c r="A111" s="275"/>
      <c r="B111" s="22" t="s">
        <v>127</v>
      </c>
      <c r="C111" s="290"/>
      <c r="D111" s="406"/>
      <c r="E111" s="326"/>
      <c r="F111" s="326"/>
      <c r="G111" s="256">
        <v>3566.2</v>
      </c>
      <c r="H111" s="256"/>
      <c r="I111" s="134"/>
      <c r="J111" s="134"/>
      <c r="K111" s="134"/>
      <c r="L111" s="256">
        <v>324.2</v>
      </c>
      <c r="M111" s="134"/>
      <c r="N111" s="134"/>
      <c r="O111" s="134"/>
      <c r="P111" s="256">
        <f>H111+L111</f>
        <v>324.2</v>
      </c>
      <c r="Q111" s="256">
        <f t="shared" si="11"/>
        <v>0</v>
      </c>
      <c r="R111" s="256">
        <f t="shared" si="12"/>
        <v>0</v>
      </c>
      <c r="S111" s="256">
        <f t="shared" si="13"/>
        <v>0</v>
      </c>
      <c r="T111" s="256">
        <v>324.2</v>
      </c>
      <c r="U111" s="256">
        <v>3242</v>
      </c>
      <c r="V111" s="172"/>
    </row>
    <row r="112" spans="1:22" ht="12.75">
      <c r="A112" s="275"/>
      <c r="B112" s="40" t="s">
        <v>27</v>
      </c>
      <c r="C112" s="290"/>
      <c r="D112" s="406"/>
      <c r="E112" s="326"/>
      <c r="F112" s="326"/>
      <c r="G112" s="345"/>
      <c r="H112" s="273"/>
      <c r="I112" s="136"/>
      <c r="J112" s="136"/>
      <c r="K112" s="136"/>
      <c r="L112" s="273"/>
      <c r="M112" s="136"/>
      <c r="N112" s="136"/>
      <c r="O112" s="136"/>
      <c r="P112" s="273">
        <f>H112+L112</f>
        <v>0</v>
      </c>
      <c r="Q112" s="273">
        <f t="shared" si="11"/>
        <v>0</v>
      </c>
      <c r="R112" s="273">
        <f t="shared" si="12"/>
        <v>0</v>
      </c>
      <c r="S112" s="273">
        <f t="shared" si="13"/>
        <v>0</v>
      </c>
      <c r="T112" s="273"/>
      <c r="U112" s="273"/>
      <c r="V112" s="172"/>
    </row>
    <row r="113" spans="1:22" ht="12.75">
      <c r="A113" s="275"/>
      <c r="B113" s="23" t="s">
        <v>29</v>
      </c>
      <c r="C113" s="290"/>
      <c r="D113" s="406"/>
      <c r="E113" s="326"/>
      <c r="F113" s="326"/>
      <c r="G113" s="140">
        <v>0</v>
      </c>
      <c r="H113" s="136"/>
      <c r="I113" s="136"/>
      <c r="J113" s="136"/>
      <c r="K113" s="136"/>
      <c r="L113" s="140">
        <v>0</v>
      </c>
      <c r="M113" s="136"/>
      <c r="N113" s="136"/>
      <c r="O113" s="136"/>
      <c r="P113" s="152">
        <f>H113+L113</f>
        <v>0</v>
      </c>
      <c r="Q113" s="152">
        <f t="shared" si="11"/>
        <v>0</v>
      </c>
      <c r="R113" s="152">
        <f t="shared" si="12"/>
        <v>0</v>
      </c>
      <c r="S113" s="152">
        <f t="shared" si="13"/>
        <v>0</v>
      </c>
      <c r="T113" s="136"/>
      <c r="U113" s="136"/>
      <c r="V113" s="172"/>
    </row>
    <row r="114" spans="1:22" ht="12.75">
      <c r="A114" s="275"/>
      <c r="B114" s="41" t="s">
        <v>39</v>
      </c>
      <c r="C114" s="290"/>
      <c r="D114" s="406"/>
      <c r="E114" s="326"/>
      <c r="F114" s="326"/>
      <c r="G114" s="139">
        <v>0</v>
      </c>
      <c r="H114" s="136"/>
      <c r="I114" s="136"/>
      <c r="J114" s="136"/>
      <c r="K114" s="136"/>
      <c r="L114" s="139">
        <v>0</v>
      </c>
      <c r="M114" s="136"/>
      <c r="N114" s="136"/>
      <c r="O114" s="136"/>
      <c r="P114" s="153">
        <f aca="true" t="shared" si="16" ref="P114:P120">H114+L114</f>
        <v>0</v>
      </c>
      <c r="Q114" s="153">
        <f t="shared" si="11"/>
        <v>0</v>
      </c>
      <c r="R114" s="153">
        <f t="shared" si="12"/>
        <v>0</v>
      </c>
      <c r="S114" s="153">
        <f t="shared" si="13"/>
        <v>0</v>
      </c>
      <c r="T114" s="136"/>
      <c r="U114" s="136"/>
      <c r="V114" s="172"/>
    </row>
    <row r="115" spans="1:22" ht="12.75">
      <c r="A115" s="275"/>
      <c r="B115" s="23" t="s">
        <v>30</v>
      </c>
      <c r="C115" s="290"/>
      <c r="D115" s="406"/>
      <c r="E115" s="326"/>
      <c r="F115" s="326"/>
      <c r="G115" s="140">
        <v>0</v>
      </c>
      <c r="H115" s="136"/>
      <c r="I115" s="136"/>
      <c r="J115" s="136"/>
      <c r="K115" s="136"/>
      <c r="L115" s="140">
        <v>0</v>
      </c>
      <c r="M115" s="136"/>
      <c r="N115" s="136"/>
      <c r="O115" s="136"/>
      <c r="P115" s="152">
        <f t="shared" si="16"/>
        <v>0</v>
      </c>
      <c r="Q115" s="152">
        <f t="shared" si="11"/>
        <v>0</v>
      </c>
      <c r="R115" s="152">
        <f t="shared" si="12"/>
        <v>0</v>
      </c>
      <c r="S115" s="152">
        <f t="shared" si="13"/>
        <v>0</v>
      </c>
      <c r="T115" s="136"/>
      <c r="U115" s="136"/>
      <c r="V115" s="172"/>
    </row>
    <row r="116" spans="1:22" ht="12.75">
      <c r="A116" s="275"/>
      <c r="B116" s="41" t="s">
        <v>31</v>
      </c>
      <c r="C116" s="357"/>
      <c r="D116" s="406"/>
      <c r="E116" s="326"/>
      <c r="F116" s="326"/>
      <c r="G116" s="139">
        <v>0</v>
      </c>
      <c r="H116" s="140"/>
      <c r="I116" s="140"/>
      <c r="J116" s="140"/>
      <c r="K116" s="140"/>
      <c r="L116" s="139">
        <v>0</v>
      </c>
      <c r="M116" s="140"/>
      <c r="N116" s="140"/>
      <c r="O116" s="140"/>
      <c r="P116" s="153">
        <f t="shared" si="16"/>
        <v>0</v>
      </c>
      <c r="Q116" s="153">
        <f t="shared" si="11"/>
        <v>0</v>
      </c>
      <c r="R116" s="153">
        <f t="shared" si="12"/>
        <v>0</v>
      </c>
      <c r="S116" s="153">
        <f t="shared" si="13"/>
        <v>0</v>
      </c>
      <c r="T116" s="140"/>
      <c r="U116" s="140"/>
      <c r="V116" s="172"/>
    </row>
    <row r="117" spans="1:22" ht="12.75">
      <c r="A117" s="275"/>
      <c r="B117" s="41" t="s">
        <v>32</v>
      </c>
      <c r="C117" s="357"/>
      <c r="D117" s="406"/>
      <c r="E117" s="326"/>
      <c r="F117" s="326"/>
      <c r="G117" s="139">
        <v>0</v>
      </c>
      <c r="H117" s="140"/>
      <c r="I117" s="140"/>
      <c r="J117" s="140"/>
      <c r="K117" s="140"/>
      <c r="L117" s="139">
        <v>0</v>
      </c>
      <c r="M117" s="140"/>
      <c r="N117" s="140"/>
      <c r="O117" s="140"/>
      <c r="P117" s="153">
        <f t="shared" si="16"/>
        <v>0</v>
      </c>
      <c r="Q117" s="153">
        <f t="shared" si="11"/>
        <v>0</v>
      </c>
      <c r="R117" s="153">
        <f t="shared" si="12"/>
        <v>0</v>
      </c>
      <c r="S117" s="153">
        <f t="shared" si="13"/>
        <v>0</v>
      </c>
      <c r="T117" s="140"/>
      <c r="U117" s="140"/>
      <c r="V117" s="172"/>
    </row>
    <row r="118" spans="1:22" ht="12.75">
      <c r="A118" s="275"/>
      <c r="B118" s="41" t="s">
        <v>33</v>
      </c>
      <c r="C118" s="357"/>
      <c r="D118" s="406"/>
      <c r="E118" s="326"/>
      <c r="F118" s="326"/>
      <c r="G118" s="139">
        <v>0</v>
      </c>
      <c r="H118" s="140"/>
      <c r="I118" s="140"/>
      <c r="J118" s="140"/>
      <c r="K118" s="140"/>
      <c r="L118" s="139">
        <v>0</v>
      </c>
      <c r="M118" s="140"/>
      <c r="N118" s="140"/>
      <c r="O118" s="140"/>
      <c r="P118" s="153">
        <f t="shared" si="16"/>
        <v>0</v>
      </c>
      <c r="Q118" s="153">
        <f t="shared" si="11"/>
        <v>0</v>
      </c>
      <c r="R118" s="153">
        <f t="shared" si="12"/>
        <v>0</v>
      </c>
      <c r="S118" s="153">
        <f t="shared" si="13"/>
        <v>0</v>
      </c>
      <c r="T118" s="140"/>
      <c r="U118" s="140"/>
      <c r="V118" s="172"/>
    </row>
    <row r="119" spans="1:22" ht="12.75">
      <c r="A119" s="275"/>
      <c r="B119" s="23" t="s">
        <v>37</v>
      </c>
      <c r="C119" s="357"/>
      <c r="D119" s="407"/>
      <c r="E119" s="346"/>
      <c r="F119" s="346"/>
      <c r="G119" s="140">
        <v>0</v>
      </c>
      <c r="H119" s="140"/>
      <c r="I119" s="140"/>
      <c r="J119" s="140"/>
      <c r="K119" s="140"/>
      <c r="L119" s="140">
        <v>0</v>
      </c>
      <c r="M119" s="140"/>
      <c r="N119" s="140"/>
      <c r="O119" s="140"/>
      <c r="P119" s="152">
        <f t="shared" si="16"/>
        <v>0</v>
      </c>
      <c r="Q119" s="152">
        <f t="shared" si="11"/>
        <v>0</v>
      </c>
      <c r="R119" s="152">
        <f t="shared" si="12"/>
        <v>0</v>
      </c>
      <c r="S119" s="152">
        <f t="shared" si="13"/>
        <v>0</v>
      </c>
      <c r="T119" s="140"/>
      <c r="U119" s="140"/>
      <c r="V119" s="172"/>
    </row>
    <row r="120" spans="1:22" ht="12.75">
      <c r="A120" s="276"/>
      <c r="B120" s="23" t="s">
        <v>38</v>
      </c>
      <c r="C120" s="358"/>
      <c r="D120" s="408"/>
      <c r="E120" s="345"/>
      <c r="F120" s="345"/>
      <c r="G120" s="140">
        <v>0</v>
      </c>
      <c r="H120" s="140"/>
      <c r="I120" s="140"/>
      <c r="J120" s="140"/>
      <c r="K120" s="140"/>
      <c r="L120" s="140">
        <v>0</v>
      </c>
      <c r="M120" s="140"/>
      <c r="N120" s="140"/>
      <c r="O120" s="140"/>
      <c r="P120" s="152">
        <f t="shared" si="16"/>
        <v>0</v>
      </c>
      <c r="Q120" s="152">
        <f t="shared" si="11"/>
        <v>0</v>
      </c>
      <c r="R120" s="152">
        <f t="shared" si="12"/>
        <v>0</v>
      </c>
      <c r="S120" s="152">
        <f t="shared" si="13"/>
        <v>0</v>
      </c>
      <c r="T120" s="140"/>
      <c r="U120" s="140"/>
      <c r="V120" s="173"/>
    </row>
    <row r="121" spans="1:22" ht="25.5">
      <c r="A121" s="274" t="s">
        <v>131</v>
      </c>
      <c r="B121" s="16" t="s">
        <v>112</v>
      </c>
      <c r="C121" s="389" t="s">
        <v>43</v>
      </c>
      <c r="D121" s="405" t="s">
        <v>49</v>
      </c>
      <c r="E121" s="258"/>
      <c r="F121" s="258" t="s">
        <v>18</v>
      </c>
      <c r="G121" s="25">
        <f>G122+G124+G126+G130+G131</f>
        <v>2899.6</v>
      </c>
      <c r="H121" s="25">
        <f>H122+H124+H126+H130+H131</f>
        <v>0</v>
      </c>
      <c r="I121" s="140"/>
      <c r="J121" s="140"/>
      <c r="K121" s="140"/>
      <c r="L121" s="25">
        <f>L122+L124+L126+L130+L131</f>
        <v>263.6</v>
      </c>
      <c r="M121" s="140">
        <v>0</v>
      </c>
      <c r="N121" s="140">
        <v>0</v>
      </c>
      <c r="O121" s="140">
        <v>0</v>
      </c>
      <c r="P121" s="25">
        <f>H121+L121</f>
        <v>263.6</v>
      </c>
      <c r="Q121" s="25">
        <f t="shared" si="11"/>
        <v>0</v>
      </c>
      <c r="R121" s="25">
        <f t="shared" si="12"/>
        <v>0</v>
      </c>
      <c r="S121" s="25">
        <f t="shared" si="13"/>
        <v>0</v>
      </c>
      <c r="T121" s="140"/>
      <c r="U121" s="140"/>
      <c r="V121" s="174"/>
    </row>
    <row r="122" spans="1:22" ht="12.75">
      <c r="A122" s="275"/>
      <c r="B122" s="22" t="s">
        <v>127</v>
      </c>
      <c r="C122" s="290"/>
      <c r="D122" s="406"/>
      <c r="E122" s="326"/>
      <c r="F122" s="326"/>
      <c r="G122" s="256">
        <v>2899.6</v>
      </c>
      <c r="H122" s="256"/>
      <c r="I122" s="134"/>
      <c r="J122" s="134"/>
      <c r="K122" s="134"/>
      <c r="L122" s="256">
        <v>263.6</v>
      </c>
      <c r="M122" s="134"/>
      <c r="N122" s="134"/>
      <c r="O122" s="134"/>
      <c r="P122" s="256">
        <f>H122+L122</f>
        <v>263.6</v>
      </c>
      <c r="Q122" s="256">
        <f t="shared" si="11"/>
        <v>0</v>
      </c>
      <c r="R122" s="256">
        <f t="shared" si="12"/>
        <v>0</v>
      </c>
      <c r="S122" s="256">
        <f t="shared" si="13"/>
        <v>0</v>
      </c>
      <c r="T122" s="256">
        <v>263.6</v>
      </c>
      <c r="U122" s="256">
        <v>2636</v>
      </c>
      <c r="V122" s="172"/>
    </row>
    <row r="123" spans="1:22" ht="12.75">
      <c r="A123" s="275"/>
      <c r="B123" s="40" t="s">
        <v>27</v>
      </c>
      <c r="C123" s="290"/>
      <c r="D123" s="406"/>
      <c r="E123" s="326"/>
      <c r="F123" s="326"/>
      <c r="G123" s="345"/>
      <c r="H123" s="273"/>
      <c r="I123" s="136"/>
      <c r="J123" s="136"/>
      <c r="K123" s="136"/>
      <c r="L123" s="273"/>
      <c r="M123" s="136"/>
      <c r="N123" s="136"/>
      <c r="O123" s="136"/>
      <c r="P123" s="273">
        <f>H123+L123</f>
        <v>0</v>
      </c>
      <c r="Q123" s="273">
        <f t="shared" si="11"/>
        <v>0</v>
      </c>
      <c r="R123" s="273">
        <f t="shared" si="12"/>
        <v>0</v>
      </c>
      <c r="S123" s="273">
        <f t="shared" si="13"/>
        <v>0</v>
      </c>
      <c r="T123" s="273"/>
      <c r="U123" s="273"/>
      <c r="V123" s="172"/>
    </row>
    <row r="124" spans="1:22" ht="12.75">
      <c r="A124" s="275"/>
      <c r="B124" s="23" t="s">
        <v>29</v>
      </c>
      <c r="C124" s="290"/>
      <c r="D124" s="406"/>
      <c r="E124" s="326"/>
      <c r="F124" s="326"/>
      <c r="G124" s="140">
        <v>0</v>
      </c>
      <c r="H124" s="136"/>
      <c r="I124" s="136"/>
      <c r="J124" s="136"/>
      <c r="K124" s="136"/>
      <c r="L124" s="140">
        <v>0</v>
      </c>
      <c r="M124" s="136"/>
      <c r="N124" s="136"/>
      <c r="O124" s="136"/>
      <c r="P124" s="152">
        <f>H124+L124</f>
        <v>0</v>
      </c>
      <c r="Q124" s="152">
        <f t="shared" si="11"/>
        <v>0</v>
      </c>
      <c r="R124" s="152">
        <f t="shared" si="12"/>
        <v>0</v>
      </c>
      <c r="S124" s="152">
        <f t="shared" si="13"/>
        <v>0</v>
      </c>
      <c r="T124" s="136"/>
      <c r="U124" s="136"/>
      <c r="V124" s="172"/>
    </row>
    <row r="125" spans="1:22" ht="12.75">
      <c r="A125" s="275"/>
      <c r="B125" s="41" t="s">
        <v>39</v>
      </c>
      <c r="C125" s="290"/>
      <c r="D125" s="406"/>
      <c r="E125" s="326"/>
      <c r="F125" s="326"/>
      <c r="G125" s="139">
        <v>0</v>
      </c>
      <c r="H125" s="136"/>
      <c r="I125" s="136"/>
      <c r="J125" s="136"/>
      <c r="K125" s="136"/>
      <c r="L125" s="139">
        <v>0</v>
      </c>
      <c r="M125" s="136"/>
      <c r="N125" s="136"/>
      <c r="O125" s="136"/>
      <c r="P125" s="153">
        <f aca="true" t="shared" si="17" ref="P125:P131">H125+L125</f>
        <v>0</v>
      </c>
      <c r="Q125" s="153">
        <f t="shared" si="11"/>
        <v>0</v>
      </c>
      <c r="R125" s="153">
        <f t="shared" si="12"/>
        <v>0</v>
      </c>
      <c r="S125" s="153">
        <f t="shared" si="13"/>
        <v>0</v>
      </c>
      <c r="T125" s="136"/>
      <c r="U125" s="136"/>
      <c r="V125" s="172"/>
    </row>
    <row r="126" spans="1:22" ht="12.75">
      <c r="A126" s="275"/>
      <c r="B126" s="23" t="s">
        <v>30</v>
      </c>
      <c r="C126" s="290"/>
      <c r="D126" s="406"/>
      <c r="E126" s="326"/>
      <c r="F126" s="326"/>
      <c r="G126" s="140">
        <v>0</v>
      </c>
      <c r="H126" s="136"/>
      <c r="I126" s="136"/>
      <c r="J126" s="136"/>
      <c r="K126" s="136"/>
      <c r="L126" s="140">
        <v>0</v>
      </c>
      <c r="M126" s="136"/>
      <c r="N126" s="136"/>
      <c r="O126" s="136"/>
      <c r="P126" s="152">
        <f t="shared" si="17"/>
        <v>0</v>
      </c>
      <c r="Q126" s="152">
        <f t="shared" si="11"/>
        <v>0</v>
      </c>
      <c r="R126" s="152">
        <f t="shared" si="12"/>
        <v>0</v>
      </c>
      <c r="S126" s="152">
        <f t="shared" si="13"/>
        <v>0</v>
      </c>
      <c r="T126" s="136"/>
      <c r="U126" s="136"/>
      <c r="V126" s="172"/>
    </row>
    <row r="127" spans="1:22" ht="12.75">
      <c r="A127" s="275"/>
      <c r="B127" s="41" t="s">
        <v>31</v>
      </c>
      <c r="C127" s="357"/>
      <c r="D127" s="406"/>
      <c r="E127" s="326"/>
      <c r="F127" s="326"/>
      <c r="G127" s="139">
        <v>0</v>
      </c>
      <c r="H127" s="140"/>
      <c r="I127" s="140"/>
      <c r="J127" s="140"/>
      <c r="K127" s="140"/>
      <c r="L127" s="139">
        <v>0</v>
      </c>
      <c r="M127" s="140"/>
      <c r="N127" s="140"/>
      <c r="O127" s="140"/>
      <c r="P127" s="153">
        <f t="shared" si="17"/>
        <v>0</v>
      </c>
      <c r="Q127" s="153">
        <f t="shared" si="11"/>
        <v>0</v>
      </c>
      <c r="R127" s="153">
        <f t="shared" si="12"/>
        <v>0</v>
      </c>
      <c r="S127" s="153">
        <f t="shared" si="13"/>
        <v>0</v>
      </c>
      <c r="T127" s="140"/>
      <c r="U127" s="140"/>
      <c r="V127" s="172"/>
    </row>
    <row r="128" spans="1:22" ht="12.75">
      <c r="A128" s="275"/>
      <c r="B128" s="41" t="s">
        <v>32</v>
      </c>
      <c r="C128" s="357"/>
      <c r="D128" s="406"/>
      <c r="E128" s="326"/>
      <c r="F128" s="326"/>
      <c r="G128" s="139">
        <v>0</v>
      </c>
      <c r="H128" s="140"/>
      <c r="I128" s="140"/>
      <c r="J128" s="140"/>
      <c r="K128" s="140"/>
      <c r="L128" s="139">
        <v>0</v>
      </c>
      <c r="M128" s="140"/>
      <c r="N128" s="140"/>
      <c r="O128" s="140"/>
      <c r="P128" s="153">
        <f t="shared" si="17"/>
        <v>0</v>
      </c>
      <c r="Q128" s="153">
        <f t="shared" si="11"/>
        <v>0</v>
      </c>
      <c r="R128" s="153">
        <f t="shared" si="12"/>
        <v>0</v>
      </c>
      <c r="S128" s="153">
        <f t="shared" si="13"/>
        <v>0</v>
      </c>
      <c r="T128" s="140"/>
      <c r="U128" s="140"/>
      <c r="V128" s="172"/>
    </row>
    <row r="129" spans="1:22" ht="12.75">
      <c r="A129" s="275"/>
      <c r="B129" s="41" t="s">
        <v>33</v>
      </c>
      <c r="C129" s="357"/>
      <c r="D129" s="406"/>
      <c r="E129" s="326"/>
      <c r="F129" s="326"/>
      <c r="G129" s="139">
        <v>0</v>
      </c>
      <c r="H129" s="140"/>
      <c r="I129" s="140"/>
      <c r="J129" s="140"/>
      <c r="K129" s="140"/>
      <c r="L129" s="139">
        <v>0</v>
      </c>
      <c r="M129" s="140"/>
      <c r="N129" s="140"/>
      <c r="O129" s="140"/>
      <c r="P129" s="153">
        <f t="shared" si="17"/>
        <v>0</v>
      </c>
      <c r="Q129" s="153">
        <f t="shared" si="11"/>
        <v>0</v>
      </c>
      <c r="R129" s="153">
        <f t="shared" si="12"/>
        <v>0</v>
      </c>
      <c r="S129" s="153">
        <f t="shared" si="13"/>
        <v>0</v>
      </c>
      <c r="T129" s="140"/>
      <c r="U129" s="140"/>
      <c r="V129" s="172"/>
    </row>
    <row r="130" spans="1:22" ht="12.75">
      <c r="A130" s="275"/>
      <c r="B130" s="23" t="s">
        <v>37</v>
      </c>
      <c r="C130" s="357"/>
      <c r="D130" s="407"/>
      <c r="E130" s="346"/>
      <c r="F130" s="346"/>
      <c r="G130" s="140">
        <v>0</v>
      </c>
      <c r="H130" s="140"/>
      <c r="I130" s="140"/>
      <c r="J130" s="140"/>
      <c r="K130" s="140"/>
      <c r="L130" s="140">
        <v>0</v>
      </c>
      <c r="M130" s="140"/>
      <c r="N130" s="140"/>
      <c r="O130" s="140"/>
      <c r="P130" s="152">
        <f t="shared" si="17"/>
        <v>0</v>
      </c>
      <c r="Q130" s="152">
        <f t="shared" si="11"/>
        <v>0</v>
      </c>
      <c r="R130" s="152">
        <f t="shared" si="12"/>
        <v>0</v>
      </c>
      <c r="S130" s="152">
        <f t="shared" si="13"/>
        <v>0</v>
      </c>
      <c r="T130" s="140"/>
      <c r="U130" s="140"/>
      <c r="V130" s="172"/>
    </row>
    <row r="131" spans="1:22" ht="12.75">
      <c r="A131" s="276"/>
      <c r="B131" s="23" t="s">
        <v>38</v>
      </c>
      <c r="C131" s="358"/>
      <c r="D131" s="408"/>
      <c r="E131" s="345"/>
      <c r="F131" s="345"/>
      <c r="G131" s="140">
        <v>0</v>
      </c>
      <c r="H131" s="140"/>
      <c r="I131" s="140"/>
      <c r="J131" s="140"/>
      <c r="K131" s="140"/>
      <c r="L131" s="140">
        <v>0</v>
      </c>
      <c r="M131" s="140"/>
      <c r="N131" s="140"/>
      <c r="O131" s="140"/>
      <c r="P131" s="152">
        <f t="shared" si="17"/>
        <v>0</v>
      </c>
      <c r="Q131" s="152">
        <f t="shared" si="11"/>
        <v>0</v>
      </c>
      <c r="R131" s="152">
        <f t="shared" si="12"/>
        <v>0</v>
      </c>
      <c r="S131" s="152">
        <f t="shared" si="13"/>
        <v>0</v>
      </c>
      <c r="T131" s="140"/>
      <c r="U131" s="140"/>
      <c r="V131" s="172"/>
    </row>
    <row r="132" spans="1:22" ht="25.5">
      <c r="A132" s="274" t="s">
        <v>134</v>
      </c>
      <c r="B132" s="16" t="s">
        <v>106</v>
      </c>
      <c r="C132" s="175"/>
      <c r="D132" s="176"/>
      <c r="E132" s="177"/>
      <c r="F132" s="177"/>
      <c r="G132" s="25">
        <f>G133</f>
        <v>370824.7</v>
      </c>
      <c r="H132" s="25">
        <f>H133</f>
        <v>60000</v>
      </c>
      <c r="I132" s="25">
        <f>I133</f>
        <v>0</v>
      </c>
      <c r="J132" s="25">
        <f>J133</f>
        <v>51257.17999999999</v>
      </c>
      <c r="K132" s="25">
        <f>K133</f>
        <v>83705.67599999998</v>
      </c>
      <c r="L132" s="25">
        <f>L133</f>
        <v>155412.4</v>
      </c>
      <c r="M132" s="25">
        <f>M133</f>
        <v>0</v>
      </c>
      <c r="N132" s="25">
        <f>N133</f>
        <v>3488.799000000001</v>
      </c>
      <c r="O132" s="25">
        <f>O133</f>
        <v>0</v>
      </c>
      <c r="P132" s="25">
        <f>H132+L132</f>
        <v>215412.4</v>
      </c>
      <c r="Q132" s="25">
        <f t="shared" si="11"/>
        <v>0</v>
      </c>
      <c r="R132" s="25">
        <f t="shared" si="12"/>
        <v>54745.97899999999</v>
      </c>
      <c r="S132" s="25">
        <f t="shared" si="13"/>
        <v>83705.67599999998</v>
      </c>
      <c r="T132" s="25"/>
      <c r="U132" s="25"/>
      <c r="V132" s="172"/>
    </row>
    <row r="133" spans="1:22" ht="24.75" customHeight="1">
      <c r="A133" s="346"/>
      <c r="B133" s="22" t="s">
        <v>127</v>
      </c>
      <c r="C133" s="175"/>
      <c r="D133" s="176"/>
      <c r="E133" s="177"/>
      <c r="F133" s="177"/>
      <c r="G133" s="256">
        <v>370824.7</v>
      </c>
      <c r="H133" s="351">
        <v>60000</v>
      </c>
      <c r="I133" s="351"/>
      <c r="J133" s="351">
        <f>9233.2+4176.39+20704.22-1+2963.52-200+14380.85</f>
        <v>51257.17999999999</v>
      </c>
      <c r="K133" s="351">
        <f>200+490.405+13192.051+22462.142+360.143-0.8+32821.085-200+14380.65</f>
        <v>83705.67599999998</v>
      </c>
      <c r="L133" s="351">
        <v>155412.4</v>
      </c>
      <c r="M133" s="137">
        <v>0</v>
      </c>
      <c r="N133" s="137">
        <f>8608.799-5120</f>
        <v>3488.799000000001</v>
      </c>
      <c r="O133" s="137">
        <v>0</v>
      </c>
      <c r="P133" s="256">
        <f>H133+L133</f>
        <v>215412.4</v>
      </c>
      <c r="Q133" s="256">
        <f t="shared" si="11"/>
        <v>0</v>
      </c>
      <c r="R133" s="256">
        <f t="shared" si="12"/>
        <v>54745.97899999999</v>
      </c>
      <c r="S133" s="256">
        <f t="shared" si="13"/>
        <v>83705.67599999998</v>
      </c>
      <c r="T133" s="351">
        <v>155412.4</v>
      </c>
      <c r="U133" s="351">
        <v>155412.3</v>
      </c>
      <c r="V133" s="172"/>
    </row>
    <row r="134" spans="1:22" ht="12.75">
      <c r="A134" s="345"/>
      <c r="B134" s="40" t="s">
        <v>27</v>
      </c>
      <c r="C134" s="175"/>
      <c r="D134" s="176"/>
      <c r="E134" s="177"/>
      <c r="F134" s="177"/>
      <c r="G134" s="345"/>
      <c r="H134" s="352"/>
      <c r="I134" s="352"/>
      <c r="J134" s="352"/>
      <c r="K134" s="352"/>
      <c r="L134" s="352"/>
      <c r="M134" s="138"/>
      <c r="N134" s="138"/>
      <c r="O134" s="138"/>
      <c r="P134" s="273">
        <f>H134+L134</f>
        <v>0</v>
      </c>
      <c r="Q134" s="273">
        <f t="shared" si="11"/>
        <v>0</v>
      </c>
      <c r="R134" s="273">
        <f t="shared" si="12"/>
        <v>0</v>
      </c>
      <c r="S134" s="273">
        <f t="shared" si="13"/>
        <v>0</v>
      </c>
      <c r="T134" s="352"/>
      <c r="U134" s="352"/>
      <c r="V134" s="172"/>
    </row>
    <row r="135" spans="1:22" ht="15">
      <c r="A135" s="324"/>
      <c r="B135" s="17" t="s">
        <v>14</v>
      </c>
      <c r="C135" s="303"/>
      <c r="D135" s="384"/>
      <c r="E135" s="279">
        <f>G77+G57+G6+G88+G99+G110+G121+G132+G30</f>
        <v>1978015.7</v>
      </c>
      <c r="F135" s="279">
        <f>G78+G58+G7+G89+G100+G111+G122+G133+G31</f>
        <v>1228525.5</v>
      </c>
      <c r="G135" s="140">
        <f>G136+G138+G140+G144+G146+G145</f>
        <v>1978015.7</v>
      </c>
      <c r="H135" s="140">
        <f>H136+H138+H140+H144+H146+H145</f>
        <v>663142.4</v>
      </c>
      <c r="I135" s="140">
        <f>I136+I138+I140+I144+I146+I145</f>
        <v>421549.60199999996</v>
      </c>
      <c r="J135" s="140">
        <f>J136+J138+J140+J144+J146+J145</f>
        <v>297016.77</v>
      </c>
      <c r="K135" s="140">
        <f>K136+K138+K140+K144+K146+K145</f>
        <v>329465.266</v>
      </c>
      <c r="L135" s="140">
        <f>L136+L138+L140+L144+L146+L145</f>
        <v>989533</v>
      </c>
      <c r="M135" s="140">
        <f>M136+M138+M140+M144+M146+M145</f>
        <v>98292.13</v>
      </c>
      <c r="N135" s="140">
        <f aca="true" t="shared" si="18" ref="N135:S135">N136+N138+N140+N144+N146+N145</f>
        <v>500465.63</v>
      </c>
      <c r="O135" s="140">
        <f t="shared" si="18"/>
        <v>147236.77400000003</v>
      </c>
      <c r="P135" s="140">
        <f>P136+P138+P140+P144+P146+P145</f>
        <v>1577675.4</v>
      </c>
      <c r="Q135" s="152">
        <f>Q136+Q138+Q140+Q144+Q146+Q145</f>
        <v>519841.732</v>
      </c>
      <c r="R135" s="140">
        <f t="shared" si="18"/>
        <v>797482.4</v>
      </c>
      <c r="S135" s="140">
        <f t="shared" si="18"/>
        <v>476702.04</v>
      </c>
      <c r="T135" s="140">
        <f>T136+T138+T140+T144+T146+T145</f>
        <v>484314.625</v>
      </c>
      <c r="U135" s="140">
        <f>U136+U138+U140+U144+U146+U145</f>
        <v>569397.23</v>
      </c>
      <c r="V135" s="398">
        <f>SUM(H135:U135)</f>
        <v>7872114.999</v>
      </c>
    </row>
    <row r="136" spans="1:22" ht="12.75">
      <c r="A136" s="275"/>
      <c r="B136" s="22" t="s">
        <v>127</v>
      </c>
      <c r="C136" s="304"/>
      <c r="D136" s="318"/>
      <c r="E136" s="280"/>
      <c r="F136" s="280"/>
      <c r="G136" s="256">
        <v>1228525.5</v>
      </c>
      <c r="H136" s="349">
        <f aca="true" t="shared" si="19" ref="H136:U136">H78+H58+H7+H89+H31+H100+H111+H122+H133</f>
        <v>85177.2</v>
      </c>
      <c r="I136" s="349">
        <f t="shared" si="19"/>
        <v>224725.40499999997</v>
      </c>
      <c r="J136" s="349">
        <f t="shared" si="19"/>
        <v>75785.16799999999</v>
      </c>
      <c r="K136" s="349">
        <f t="shared" si="19"/>
        <v>108233.66399999998</v>
      </c>
      <c r="L136" s="250">
        <f t="shared" si="19"/>
        <v>818008</v>
      </c>
      <c r="M136" s="349">
        <f>M78+M58+M7+M89+M31+M100+M111+M122+M133</f>
        <v>30001.134000000002</v>
      </c>
      <c r="N136" s="349">
        <f t="shared" si="19"/>
        <v>87509.70199999999</v>
      </c>
      <c r="O136" s="349">
        <f t="shared" si="19"/>
        <v>113214.61500000002</v>
      </c>
      <c r="P136" s="250">
        <f t="shared" si="19"/>
        <v>903185.2</v>
      </c>
      <c r="Q136" s="250">
        <f t="shared" si="19"/>
        <v>254726.539</v>
      </c>
      <c r="R136" s="349">
        <f t="shared" si="19"/>
        <v>163294.87</v>
      </c>
      <c r="S136" s="349">
        <f t="shared" si="19"/>
        <v>221448.27899999998</v>
      </c>
      <c r="T136" s="349">
        <f t="shared" si="19"/>
        <v>312789.625</v>
      </c>
      <c r="U136" s="349">
        <f t="shared" si="19"/>
        <v>348165.62799999997</v>
      </c>
      <c r="V136" s="399"/>
    </row>
    <row r="137" spans="1:22" ht="12.75">
      <c r="A137" s="275"/>
      <c r="B137" s="40" t="s">
        <v>27</v>
      </c>
      <c r="C137" s="304"/>
      <c r="D137" s="318"/>
      <c r="E137" s="280"/>
      <c r="F137" s="280"/>
      <c r="G137" s="345"/>
      <c r="H137" s="350"/>
      <c r="I137" s="350"/>
      <c r="J137" s="350"/>
      <c r="K137" s="350"/>
      <c r="L137" s="251"/>
      <c r="M137" s="350"/>
      <c r="N137" s="350"/>
      <c r="O137" s="350"/>
      <c r="P137" s="251"/>
      <c r="Q137" s="251"/>
      <c r="R137" s="350"/>
      <c r="S137" s="350"/>
      <c r="T137" s="350"/>
      <c r="U137" s="350"/>
      <c r="V137" s="399"/>
    </row>
    <row r="138" spans="1:22" ht="12.75">
      <c r="A138" s="275"/>
      <c r="B138" s="23" t="s">
        <v>29</v>
      </c>
      <c r="C138" s="304"/>
      <c r="D138" s="318"/>
      <c r="E138" s="280"/>
      <c r="F138" s="280"/>
      <c r="G138" s="140">
        <f>SUM(G139)</f>
        <v>0</v>
      </c>
      <c r="H138" s="140">
        <f>SUM(H139)</f>
        <v>0</v>
      </c>
      <c r="I138" s="140">
        <f aca="true" t="shared" si="20" ref="I138:S138">SUM(I139)</f>
        <v>0</v>
      </c>
      <c r="J138" s="140">
        <f t="shared" si="20"/>
        <v>0</v>
      </c>
      <c r="K138" s="140">
        <f t="shared" si="20"/>
        <v>0</v>
      </c>
      <c r="L138" s="140">
        <f t="shared" si="20"/>
        <v>0</v>
      </c>
      <c r="M138" s="140">
        <f t="shared" si="20"/>
        <v>0</v>
      </c>
      <c r="N138" s="140">
        <f t="shared" si="20"/>
        <v>0</v>
      </c>
      <c r="O138" s="140">
        <f t="shared" si="20"/>
        <v>0</v>
      </c>
      <c r="P138" s="140">
        <f t="shared" si="20"/>
        <v>0</v>
      </c>
      <c r="Q138" s="152">
        <f t="shared" si="20"/>
        <v>0</v>
      </c>
      <c r="R138" s="140">
        <f t="shared" si="20"/>
        <v>0</v>
      </c>
      <c r="S138" s="140">
        <f t="shared" si="20"/>
        <v>0</v>
      </c>
      <c r="T138" s="140">
        <f>SUM(T139)</f>
        <v>0</v>
      </c>
      <c r="U138" s="140">
        <f>SUM(U139)</f>
        <v>0</v>
      </c>
      <c r="V138" s="399"/>
    </row>
    <row r="139" spans="1:22" ht="12.75">
      <c r="A139" s="275"/>
      <c r="B139" s="44" t="s">
        <v>52</v>
      </c>
      <c r="C139" s="304"/>
      <c r="D139" s="318"/>
      <c r="E139" s="280"/>
      <c r="F139" s="280"/>
      <c r="G139" s="139">
        <f>H139+T139+U139</f>
        <v>0</v>
      </c>
      <c r="H139" s="139">
        <f>H19+H49+H70+H81+H92</f>
        <v>0</v>
      </c>
      <c r="I139" s="139">
        <f>I19+I49+I70+I81+I92</f>
        <v>0</v>
      </c>
      <c r="J139" s="139">
        <f>J19+J49+J70+J81+J92</f>
        <v>0</v>
      </c>
      <c r="K139" s="139">
        <f>K19+K49+K70+K81+K92</f>
        <v>0</v>
      </c>
      <c r="L139" s="139">
        <f aca="true" t="shared" si="21" ref="L139:S139">L19+L49+L70+L81+L92</f>
        <v>0</v>
      </c>
      <c r="M139" s="139">
        <f t="shared" si="21"/>
        <v>0</v>
      </c>
      <c r="N139" s="139">
        <f t="shared" si="21"/>
        <v>0</v>
      </c>
      <c r="O139" s="139">
        <f t="shared" si="21"/>
        <v>0</v>
      </c>
      <c r="P139" s="139">
        <f t="shared" si="21"/>
        <v>0</v>
      </c>
      <c r="Q139" s="153">
        <f>Q19+Q49+Q70+Q81+Q92</f>
        <v>0</v>
      </c>
      <c r="R139" s="139">
        <f t="shared" si="21"/>
        <v>0</v>
      </c>
      <c r="S139" s="139">
        <f t="shared" si="21"/>
        <v>0</v>
      </c>
      <c r="T139" s="139">
        <f>T19+T49+T70+T81+T92</f>
        <v>0</v>
      </c>
      <c r="U139" s="139">
        <f>U19+U49+U70+U81+U92</f>
        <v>0</v>
      </c>
      <c r="V139" s="399"/>
    </row>
    <row r="140" spans="1:22" ht="12.75">
      <c r="A140" s="275"/>
      <c r="B140" s="23" t="s">
        <v>30</v>
      </c>
      <c r="C140" s="304"/>
      <c r="D140" s="318"/>
      <c r="E140" s="280"/>
      <c r="F140" s="280"/>
      <c r="G140" s="140">
        <f>SUM(G141:G143)</f>
        <v>288390.2</v>
      </c>
      <c r="H140" s="140">
        <f>SUM(H141:H143)</f>
        <v>288390.2</v>
      </c>
      <c r="I140" s="140">
        <f>SUM(I141:I143)</f>
        <v>196824.197</v>
      </c>
      <c r="J140" s="140">
        <f>SUM(J141:J143)</f>
        <v>221231.602</v>
      </c>
      <c r="K140" s="140">
        <f>SUM(K141:K143)</f>
        <v>221231.602</v>
      </c>
      <c r="L140" s="140">
        <f aca="true" t="shared" si="22" ref="L140:S140">SUM(L141:L143)</f>
        <v>0</v>
      </c>
      <c r="M140" s="140">
        <f>SUM(M141:M143)</f>
        <v>41708.15900000001</v>
      </c>
      <c r="N140" s="140">
        <f t="shared" si="22"/>
        <v>17300.759</v>
      </c>
      <c r="O140" s="140">
        <f t="shared" si="22"/>
        <v>17300.755</v>
      </c>
      <c r="P140" s="140">
        <f>SUM(P141:P143)</f>
        <v>288390.2</v>
      </c>
      <c r="Q140" s="152">
        <f>SUM(Q141:Q143)</f>
        <v>238532.356</v>
      </c>
      <c r="R140" s="140">
        <f t="shared" si="22"/>
        <v>238532.361</v>
      </c>
      <c r="S140" s="140">
        <f t="shared" si="22"/>
        <v>238532.35700000002</v>
      </c>
      <c r="T140" s="140">
        <f>SUM(T141:T143)</f>
        <v>0</v>
      </c>
      <c r="U140" s="140">
        <f>SUM(U141:U143)</f>
        <v>221231.602</v>
      </c>
      <c r="V140" s="399"/>
    </row>
    <row r="141" spans="1:22" ht="12.75">
      <c r="A141" s="275"/>
      <c r="B141" s="41" t="s">
        <v>31</v>
      </c>
      <c r="C141" s="416"/>
      <c r="D141" s="385"/>
      <c r="E141" s="347"/>
      <c r="F141" s="347"/>
      <c r="G141" s="139">
        <f>SUM(H141)</f>
        <v>238949</v>
      </c>
      <c r="H141" s="139">
        <f>H21+H83+H72+H94+H51</f>
        <v>238949</v>
      </c>
      <c r="I141" s="139">
        <f>I21+I83+I72+I94+I51</f>
        <v>154093.061</v>
      </c>
      <c r="J141" s="139">
        <f>J21+J83+J72+J94+J51</f>
        <v>176078.771</v>
      </c>
      <c r="K141" s="139">
        <f>K21+K83+K72+K94+K51</f>
        <v>176078.771</v>
      </c>
      <c r="L141" s="139">
        <f>L21+L83+L72+L94+L51</f>
        <v>0</v>
      </c>
      <c r="M141" s="139">
        <f aca="true" t="shared" si="23" ref="M141:S141">M21+M83+M72+M94+M51</f>
        <v>35366.475000000006</v>
      </c>
      <c r="N141" s="139">
        <f t="shared" si="23"/>
        <v>13380.769</v>
      </c>
      <c r="O141" s="139">
        <f t="shared" si="23"/>
        <v>13380.769</v>
      </c>
      <c r="P141" s="139">
        <f t="shared" si="23"/>
        <v>238949</v>
      </c>
      <c r="Q141" s="153">
        <f>Q21+Q83+Q72+Q94+Q51</f>
        <v>189459.536</v>
      </c>
      <c r="R141" s="139">
        <f t="shared" si="23"/>
        <v>189459.54</v>
      </c>
      <c r="S141" s="139">
        <f t="shared" si="23"/>
        <v>189459.54</v>
      </c>
      <c r="T141" s="139">
        <f>T21+T83+T72+T94+T51</f>
        <v>0</v>
      </c>
      <c r="U141" s="139">
        <f>U21+U83+U72+U94+U51</f>
        <v>176078.771</v>
      </c>
      <c r="V141" s="399"/>
    </row>
    <row r="142" spans="1:22" ht="12.75">
      <c r="A142" s="275"/>
      <c r="B142" s="41" t="s">
        <v>32</v>
      </c>
      <c r="C142" s="416"/>
      <c r="D142" s="385"/>
      <c r="E142" s="347"/>
      <c r="F142" s="347"/>
      <c r="G142" s="139">
        <f>SUM(H142)</f>
        <v>9896.9</v>
      </c>
      <c r="H142" s="139">
        <f>H23+H84+H73+H95+H52</f>
        <v>9896.9</v>
      </c>
      <c r="I142" s="139">
        <f>I23+I84+I73+I95+I52</f>
        <v>9896.905999999999</v>
      </c>
      <c r="J142" s="139">
        <f>J23+J84+J73+J95+J52</f>
        <v>9896.91</v>
      </c>
      <c r="K142" s="139">
        <f>K23+K84+K73+K95+K52</f>
        <v>9896.91</v>
      </c>
      <c r="L142" s="139">
        <f>L23+L84+L73+L95+L52</f>
        <v>0</v>
      </c>
      <c r="M142" s="139">
        <f aca="true" t="shared" si="24" ref="M142:S142">M23+M84+M73+M95+M52</f>
        <v>0.004</v>
      </c>
      <c r="N142" s="139">
        <f t="shared" si="24"/>
        <v>0</v>
      </c>
      <c r="O142" s="139">
        <f t="shared" si="24"/>
        <v>0</v>
      </c>
      <c r="P142" s="139">
        <f t="shared" si="24"/>
        <v>9896.9</v>
      </c>
      <c r="Q142" s="153">
        <f>Q23+Q84+Q73+Q95+Q52</f>
        <v>9896.91</v>
      </c>
      <c r="R142" s="139">
        <f t="shared" si="24"/>
        <v>9896.91</v>
      </c>
      <c r="S142" s="139">
        <f t="shared" si="24"/>
        <v>9896.91</v>
      </c>
      <c r="T142" s="139">
        <f>T23+T84+T73+T95+T52</f>
        <v>0</v>
      </c>
      <c r="U142" s="139">
        <f>U23+U84+U73+U95+U52</f>
        <v>9896.91</v>
      </c>
      <c r="V142" s="399"/>
    </row>
    <row r="143" spans="1:22" ht="12.75">
      <c r="A143" s="275"/>
      <c r="B143" s="41" t="s">
        <v>33</v>
      </c>
      <c r="C143" s="416"/>
      <c r="D143" s="385"/>
      <c r="E143" s="347"/>
      <c r="F143" s="347"/>
      <c r="G143" s="139">
        <f>SUM(H143)</f>
        <v>39544.299999999996</v>
      </c>
      <c r="H143" s="139">
        <f>H25+H85+H74+H96+H53</f>
        <v>39544.299999999996</v>
      </c>
      <c r="I143" s="139">
        <f>I25+I85+I74+I96+I53</f>
        <v>32834.229999999996</v>
      </c>
      <c r="J143" s="139">
        <f>J25+J85+J74+J96+J53</f>
        <v>35255.921</v>
      </c>
      <c r="K143" s="139">
        <f>K25+K85+K74+K96+K53</f>
        <v>35255.921</v>
      </c>
      <c r="L143" s="139">
        <f aca="true" t="shared" si="25" ref="L143:S143">L25+L85+L74+L96+L53</f>
        <v>0</v>
      </c>
      <c r="M143" s="139">
        <f t="shared" si="25"/>
        <v>6341.68</v>
      </c>
      <c r="N143" s="139">
        <f t="shared" si="25"/>
        <v>3919.99</v>
      </c>
      <c r="O143" s="139">
        <f t="shared" si="25"/>
        <v>3919.986</v>
      </c>
      <c r="P143" s="139">
        <f t="shared" si="25"/>
        <v>39544.299999999996</v>
      </c>
      <c r="Q143" s="153">
        <f>Q25+Q85+Q74+Q96+Q53</f>
        <v>39175.909999999996</v>
      </c>
      <c r="R143" s="139">
        <f t="shared" si="25"/>
        <v>39175.911</v>
      </c>
      <c r="S143" s="139">
        <f t="shared" si="25"/>
        <v>39175.907</v>
      </c>
      <c r="T143" s="139">
        <f>T25+T85+T74+T96+T53</f>
        <v>0</v>
      </c>
      <c r="U143" s="139">
        <f>U25+U85+U74+U96+U53</f>
        <v>35255.921</v>
      </c>
      <c r="V143" s="399"/>
    </row>
    <row r="144" spans="1:22" ht="12.75">
      <c r="A144" s="275"/>
      <c r="B144" s="23" t="s">
        <v>37</v>
      </c>
      <c r="C144" s="416"/>
      <c r="D144" s="385"/>
      <c r="E144" s="347"/>
      <c r="F144" s="347"/>
      <c r="G144" s="140">
        <f>SUM(H144:U144)</f>
        <v>0</v>
      </c>
      <c r="H144" s="139">
        <f>H28+H86+H75+H97+H54</f>
        <v>0</v>
      </c>
      <c r="I144" s="139">
        <f>I28+I86+I75+I97+I54</f>
        <v>0</v>
      </c>
      <c r="J144" s="139">
        <f>J28+J86+J75+J97+J54</f>
        <v>0</v>
      </c>
      <c r="K144" s="139">
        <f>K28+K86+K75+K97+K54</f>
        <v>0</v>
      </c>
      <c r="L144" s="139">
        <f aca="true" t="shared" si="26" ref="L144:S144">L28+L86+L75+L97+L54</f>
        <v>0</v>
      </c>
      <c r="M144" s="139">
        <f t="shared" si="26"/>
        <v>0</v>
      </c>
      <c r="N144" s="139">
        <f t="shared" si="26"/>
        <v>0</v>
      </c>
      <c r="O144" s="139">
        <f t="shared" si="26"/>
        <v>0</v>
      </c>
      <c r="P144" s="139">
        <f t="shared" si="26"/>
        <v>0</v>
      </c>
      <c r="Q144" s="153">
        <f>Q28+Q86+Q75+Q97+Q54</f>
        <v>0</v>
      </c>
      <c r="R144" s="139">
        <f t="shared" si="26"/>
        <v>0</v>
      </c>
      <c r="S144" s="139">
        <f t="shared" si="26"/>
        <v>0</v>
      </c>
      <c r="T144" s="139">
        <f>T28+T86+T75+T97+T54</f>
        <v>0</v>
      </c>
      <c r="U144" s="140"/>
      <c r="V144" s="399"/>
    </row>
    <row r="145" spans="1:22" ht="13.5">
      <c r="A145" s="275"/>
      <c r="B145" s="23" t="s">
        <v>38</v>
      </c>
      <c r="C145" s="416"/>
      <c r="D145" s="385"/>
      <c r="E145" s="347"/>
      <c r="F145" s="347"/>
      <c r="G145" s="140">
        <v>75000</v>
      </c>
      <c r="H145" s="168"/>
      <c r="I145" s="168"/>
      <c r="J145" s="168"/>
      <c r="K145" s="168"/>
      <c r="L145" s="198">
        <v>75000</v>
      </c>
      <c r="M145" s="168"/>
      <c r="N145" s="168"/>
      <c r="O145" s="168"/>
      <c r="P145" s="168"/>
      <c r="Q145" s="168"/>
      <c r="R145" s="168"/>
      <c r="S145" s="168"/>
      <c r="T145" s="65">
        <v>75000</v>
      </c>
      <c r="U145" s="140"/>
      <c r="V145" s="399"/>
    </row>
    <row r="146" spans="1:22" ht="13.5">
      <c r="A146" s="276"/>
      <c r="B146" s="22" t="s">
        <v>118</v>
      </c>
      <c r="C146" s="417"/>
      <c r="D146" s="386"/>
      <c r="E146" s="348"/>
      <c r="F146" s="348"/>
      <c r="G146" s="140">
        <v>386100</v>
      </c>
      <c r="H146" s="133">
        <f>H29+H87+H76+H98+H56</f>
        <v>289575</v>
      </c>
      <c r="I146" s="133">
        <f>I29+I87+I76+I98+I56</f>
        <v>0</v>
      </c>
      <c r="J146" s="133">
        <f>J29+J87+J76+J98+J56</f>
        <v>0</v>
      </c>
      <c r="K146" s="133">
        <f>K29+K87+K76+K98+K56</f>
        <v>0</v>
      </c>
      <c r="L146" s="133">
        <f aca="true" t="shared" si="27" ref="L146:S146">L29+L87+L76+L98+L56</f>
        <v>96525</v>
      </c>
      <c r="M146" s="133">
        <f>M29+M87+M76+M98+M56</f>
        <v>26582.837</v>
      </c>
      <c r="N146" s="244">
        <f t="shared" si="27"/>
        <v>395655.169</v>
      </c>
      <c r="O146" s="133">
        <f t="shared" si="27"/>
        <v>16721.404</v>
      </c>
      <c r="P146" s="133">
        <f t="shared" si="27"/>
        <v>386100</v>
      </c>
      <c r="Q146" s="148">
        <f>Q29+Q87+Q76+Q98+Q56</f>
        <v>26582.837</v>
      </c>
      <c r="R146" s="133">
        <f t="shared" si="27"/>
        <v>395655.169</v>
      </c>
      <c r="S146" s="133">
        <f t="shared" si="27"/>
        <v>16721.404</v>
      </c>
      <c r="T146" s="133">
        <f>T29+T87+T76+T98+T56</f>
        <v>96525</v>
      </c>
      <c r="U146" s="140"/>
      <c r="V146" s="400"/>
    </row>
    <row r="147" spans="2:21" ht="12.75">
      <c r="B147" s="178"/>
      <c r="C147" s="179"/>
      <c r="D147" s="179"/>
      <c r="E147" s="179"/>
      <c r="F147" s="179"/>
      <c r="G147" s="180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0"/>
      <c r="U147" s="182"/>
    </row>
    <row r="148" spans="1:21" ht="12.75" hidden="1">
      <c r="A148" s="183" t="s">
        <v>22</v>
      </c>
      <c r="B148" s="32" t="s">
        <v>54</v>
      </c>
      <c r="C148" s="179"/>
      <c r="D148" s="179"/>
      <c r="E148" s="179"/>
      <c r="F148" s="179"/>
      <c r="T148" s="58">
        <f>G136</f>
        <v>1228525.5</v>
      </c>
      <c r="U148" s="59" t="s">
        <v>12</v>
      </c>
    </row>
    <row r="149" spans="1:21" ht="12.75" hidden="1">
      <c r="A149" s="183"/>
      <c r="B149" s="7" t="s">
        <v>128</v>
      </c>
      <c r="C149" s="179"/>
      <c r="D149" s="179"/>
      <c r="E149" s="179"/>
      <c r="F149" s="179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0"/>
      <c r="U149" s="182"/>
    </row>
    <row r="150" spans="1:21" ht="12.75" hidden="1">
      <c r="A150" s="183"/>
      <c r="B150" s="7"/>
      <c r="C150" s="179"/>
      <c r="D150" s="179"/>
      <c r="E150" s="179"/>
      <c r="F150" s="179"/>
      <c r="G150" s="181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180"/>
      <c r="U150" s="182"/>
    </row>
    <row r="151" spans="1:22" ht="12.75" customHeight="1" hidden="1">
      <c r="A151" s="265" t="s">
        <v>16</v>
      </c>
      <c r="B151" s="265" t="s">
        <v>11</v>
      </c>
      <c r="C151" s="265" t="s">
        <v>34</v>
      </c>
      <c r="D151" s="265" t="s">
        <v>35</v>
      </c>
      <c r="E151" s="265" t="s">
        <v>36</v>
      </c>
      <c r="F151" s="265" t="s">
        <v>44</v>
      </c>
      <c r="G151" s="387" t="s">
        <v>40</v>
      </c>
      <c r="H151" s="401" t="s">
        <v>19</v>
      </c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265" t="s">
        <v>24</v>
      </c>
    </row>
    <row r="152" spans="1:22" ht="12.75" hidden="1">
      <c r="A152" s="272"/>
      <c r="B152" s="272"/>
      <c r="C152" s="272"/>
      <c r="D152" s="272"/>
      <c r="E152" s="345"/>
      <c r="F152" s="345"/>
      <c r="G152" s="363"/>
      <c r="H152" s="10">
        <v>2011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>
        <v>2012</v>
      </c>
      <c r="U152" s="10">
        <v>2013</v>
      </c>
      <c r="V152" s="272"/>
    </row>
    <row r="153" spans="1:22" ht="12.75" hidden="1">
      <c r="A153" s="11">
        <v>1</v>
      </c>
      <c r="B153" s="18">
        <v>2</v>
      </c>
      <c r="C153" s="18">
        <v>3</v>
      </c>
      <c r="D153" s="18">
        <v>4</v>
      </c>
      <c r="E153" s="43"/>
      <c r="F153" s="43"/>
      <c r="G153" s="30">
        <v>5</v>
      </c>
      <c r="H153" s="30">
        <v>6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>
        <v>7</v>
      </c>
      <c r="U153" s="30">
        <v>8</v>
      </c>
      <c r="V153" s="12">
        <v>13</v>
      </c>
    </row>
    <row r="154" spans="1:22" ht="14.25">
      <c r="A154" s="11">
        <v>2.2</v>
      </c>
      <c r="B154" s="80" t="s">
        <v>72</v>
      </c>
      <c r="C154" s="18"/>
      <c r="D154" s="18"/>
      <c r="E154" s="43"/>
      <c r="F154" s="43"/>
      <c r="G154" s="30"/>
      <c r="H154" s="45"/>
      <c r="I154" s="46"/>
      <c r="J154" s="46"/>
      <c r="K154" s="83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39"/>
    </row>
    <row r="155" spans="1:22" ht="26.25" customHeight="1">
      <c r="A155" s="324" t="s">
        <v>73</v>
      </c>
      <c r="B155" s="69" t="s">
        <v>25</v>
      </c>
      <c r="C155" s="388" t="s">
        <v>43</v>
      </c>
      <c r="D155" s="286" t="s">
        <v>50</v>
      </c>
      <c r="E155" s="258">
        <v>150</v>
      </c>
      <c r="F155" s="258" t="s">
        <v>17</v>
      </c>
      <c r="G155" s="25">
        <f aca="true" t="shared" si="28" ref="G155:O155">G156+G166+G168+G181+G185</f>
        <v>2223644.9</v>
      </c>
      <c r="H155" s="25">
        <f t="shared" si="28"/>
        <v>1520244.9</v>
      </c>
      <c r="I155" s="25">
        <f t="shared" si="28"/>
        <v>470262.96899999987</v>
      </c>
      <c r="J155" s="25">
        <f t="shared" si="28"/>
        <v>445096.854</v>
      </c>
      <c r="K155" s="25">
        <f t="shared" si="28"/>
        <v>445096.854</v>
      </c>
      <c r="L155" s="25">
        <f t="shared" si="28"/>
        <v>20000</v>
      </c>
      <c r="M155" s="25">
        <f t="shared" si="28"/>
        <v>192464.57299999997</v>
      </c>
      <c r="N155" s="25">
        <f t="shared" si="28"/>
        <v>149762.43499999997</v>
      </c>
      <c r="O155" s="25">
        <f t="shared" si="28"/>
        <v>149762.436</v>
      </c>
      <c r="P155" s="25">
        <f>H155+L155</f>
        <v>1540244.9</v>
      </c>
      <c r="Q155" s="25">
        <f>I155+M155</f>
        <v>662727.5419999999</v>
      </c>
      <c r="R155" s="25">
        <f>J155+N155</f>
        <v>594859.289</v>
      </c>
      <c r="S155" s="25">
        <f>K155+O155</f>
        <v>594859.29</v>
      </c>
      <c r="T155" s="25">
        <f>T156+T166+T168+T181+T185</f>
        <v>78540.48700000002</v>
      </c>
      <c r="U155" s="25">
        <f>U156+U166+U168+U181+U185</f>
        <v>445096.854</v>
      </c>
      <c r="V155" s="409" t="s">
        <v>108</v>
      </c>
    </row>
    <row r="156" spans="1:22" ht="15" customHeight="1">
      <c r="A156" s="275"/>
      <c r="B156" s="22" t="s">
        <v>127</v>
      </c>
      <c r="C156" s="339"/>
      <c r="D156" s="287"/>
      <c r="E156" s="346"/>
      <c r="F156" s="346"/>
      <c r="G156" s="256">
        <v>24271.2</v>
      </c>
      <c r="H156" s="256">
        <v>4271.2</v>
      </c>
      <c r="I156" s="256">
        <f>SUM(I158:I164)</f>
        <v>5607.746000000001</v>
      </c>
      <c r="J156" s="256">
        <f>SUM(J158:J164)</f>
        <v>5587.246</v>
      </c>
      <c r="K156" s="256">
        <f>SUM(K158:K164)</f>
        <v>5587.246</v>
      </c>
      <c r="L156" s="256">
        <v>20000</v>
      </c>
      <c r="M156" s="340">
        <f>SUM(M158:M165)</f>
        <v>7574.071999999999</v>
      </c>
      <c r="N156" s="340">
        <f>SUM(N158:N165)</f>
        <v>3089.2919999999995</v>
      </c>
      <c r="O156" s="340">
        <f>SUM(O158:O165)</f>
        <v>3089.2929999999997</v>
      </c>
      <c r="P156" s="256">
        <f>H156+L156</f>
        <v>24271.2</v>
      </c>
      <c r="Q156" s="256">
        <f>I156+M156</f>
        <v>13181.818</v>
      </c>
      <c r="R156" s="256">
        <f>J156+N156</f>
        <v>8676.538</v>
      </c>
      <c r="S156" s="256">
        <f>K156+O156</f>
        <v>8676.539</v>
      </c>
      <c r="T156" s="256">
        <f>SUM(T158:T164)</f>
        <v>822.778</v>
      </c>
      <c r="U156" s="256">
        <f>SUM(U158:U164)</f>
        <v>5587.246</v>
      </c>
      <c r="V156" s="410"/>
    </row>
    <row r="157" spans="1:22" ht="12.75">
      <c r="A157" s="275"/>
      <c r="B157" s="40" t="s">
        <v>27</v>
      </c>
      <c r="C157" s="339"/>
      <c r="D157" s="287"/>
      <c r="E157" s="346"/>
      <c r="F157" s="346"/>
      <c r="G157" s="345"/>
      <c r="H157" s="273"/>
      <c r="I157" s="273"/>
      <c r="J157" s="273"/>
      <c r="K157" s="273"/>
      <c r="L157" s="273"/>
      <c r="M157" s="341"/>
      <c r="N157" s="341"/>
      <c r="O157" s="341"/>
      <c r="P157" s="273">
        <f>H157+L157</f>
        <v>0</v>
      </c>
      <c r="Q157" s="273">
        <f>I157+M157</f>
        <v>0</v>
      </c>
      <c r="R157" s="273">
        <f>J157+N157</f>
        <v>0</v>
      </c>
      <c r="S157" s="273">
        <f>K157+O157</f>
        <v>0</v>
      </c>
      <c r="T157" s="273"/>
      <c r="U157" s="273"/>
      <c r="V157" s="410"/>
    </row>
    <row r="158" spans="1:22" ht="12.75" customHeight="1" hidden="1">
      <c r="A158" s="275"/>
      <c r="B158" s="75" t="s">
        <v>155</v>
      </c>
      <c r="C158" s="339"/>
      <c r="D158" s="287"/>
      <c r="E158" s="346"/>
      <c r="F158" s="346"/>
      <c r="G158" s="105"/>
      <c r="H158" s="136"/>
      <c r="I158" s="106">
        <f>297.33+117.605+84.383+151.68+171.78+175.947+175.947+203.598+259.684+320.645-175.947+435.675+658.978+211.623+711.938</f>
        <v>3800.8660000000004</v>
      </c>
      <c r="J158" s="127">
        <f>414.935+84.383+151.68+171.78+959.874+2018.214</f>
        <v>3800.866</v>
      </c>
      <c r="K158" s="91">
        <f>414.935+84.383+151.68+171.78+203.598+435.631+320.645+2018.214</f>
        <v>3800.866</v>
      </c>
      <c r="L158" s="91"/>
      <c r="M158" s="91">
        <f>102.738+15.108+157.275+146.52+219.7+166.175+179.697+49.05+16.633+46.291+23.409+42.85+39.368+85.866+305.57</f>
        <v>1596.2499999999998</v>
      </c>
      <c r="N158" s="91">
        <f>275.122+146.52+166.175+179.697+219.7+16.633+49.05+23.409+46.292+42.85+39.368+305.57+85.866</f>
        <v>1596.2519999999997</v>
      </c>
      <c r="O158" s="91">
        <f>275.122+146.52+166.175+179.697+219.7+16.633+49.051+23.409+46.292+42.85+39.368+305.57+85.866</f>
        <v>1596.2529999999997</v>
      </c>
      <c r="P158" s="91"/>
      <c r="Q158" s="118">
        <f>I158+M158</f>
        <v>5397.116</v>
      </c>
      <c r="R158" s="91"/>
      <c r="S158" s="91"/>
      <c r="T158" s="101">
        <f>414.935+84.383+151.68+171.78</f>
        <v>822.778</v>
      </c>
      <c r="U158" s="101">
        <f>414.935+84.383+151.68+171.78+203.598+435.631+320.645+2018.214</f>
        <v>3800.866</v>
      </c>
      <c r="V158" s="410"/>
    </row>
    <row r="159" spans="1:22" ht="12.75" customHeight="1" hidden="1">
      <c r="A159" s="275"/>
      <c r="B159" s="87" t="s">
        <v>163</v>
      </c>
      <c r="C159" s="339"/>
      <c r="D159" s="287"/>
      <c r="E159" s="346"/>
      <c r="F159" s="346"/>
      <c r="G159" s="105"/>
      <c r="H159" s="136"/>
      <c r="I159" s="106">
        <v>30</v>
      </c>
      <c r="J159" s="107">
        <v>30</v>
      </c>
      <c r="K159" s="91">
        <v>30</v>
      </c>
      <c r="L159" s="157"/>
      <c r="M159" s="157"/>
      <c r="N159" s="157"/>
      <c r="O159" s="91"/>
      <c r="P159" s="157"/>
      <c r="Q159" s="118">
        <f>I159+M159</f>
        <v>30</v>
      </c>
      <c r="R159" s="157"/>
      <c r="S159" s="157"/>
      <c r="T159" s="108"/>
      <c r="U159" s="91">
        <v>30</v>
      </c>
      <c r="V159" s="410"/>
    </row>
    <row r="160" spans="1:22" ht="12.75" customHeight="1" hidden="1">
      <c r="A160" s="275"/>
      <c r="B160" s="75" t="s">
        <v>237</v>
      </c>
      <c r="C160" s="339"/>
      <c r="D160" s="287"/>
      <c r="E160" s="346"/>
      <c r="F160" s="346"/>
      <c r="G160" s="231"/>
      <c r="H160" s="230"/>
      <c r="I160" s="106"/>
      <c r="J160" s="107"/>
      <c r="K160" s="91"/>
      <c r="L160" s="157"/>
      <c r="M160" s="157">
        <f>12.184+29.867</f>
        <v>42.051</v>
      </c>
      <c r="N160" s="157">
        <f>12.184+29.867</f>
        <v>42.051</v>
      </c>
      <c r="O160" s="157">
        <f>12.184+29.867</f>
        <v>42.051</v>
      </c>
      <c r="P160" s="157"/>
      <c r="Q160" s="118"/>
      <c r="R160" s="157"/>
      <c r="S160" s="157"/>
      <c r="T160" s="108"/>
      <c r="U160" s="91"/>
      <c r="V160" s="410"/>
    </row>
    <row r="161" spans="1:22" ht="12.75" customHeight="1" hidden="1">
      <c r="A161" s="275"/>
      <c r="B161" s="75" t="s">
        <v>159</v>
      </c>
      <c r="C161" s="339"/>
      <c r="D161" s="287"/>
      <c r="E161" s="346"/>
      <c r="F161" s="346"/>
      <c r="G161" s="105"/>
      <c r="H161" s="136"/>
      <c r="I161" s="106">
        <f>330+200+540+160.38+330</f>
        <v>1560.38</v>
      </c>
      <c r="J161" s="107">
        <v>1560.38</v>
      </c>
      <c r="K161" s="91">
        <v>1560.38</v>
      </c>
      <c r="L161" s="157"/>
      <c r="M161" s="157">
        <f>694.906+50+50+50+50</f>
        <v>894.906</v>
      </c>
      <c r="N161" s="237">
        <f>48.159+500+50+50+50</f>
        <v>698.159</v>
      </c>
      <c r="O161" s="213">
        <f>48.159+500+50+50+50</f>
        <v>698.159</v>
      </c>
      <c r="P161" s="157"/>
      <c r="Q161" s="118">
        <f>I161+M161</f>
        <v>2455.286</v>
      </c>
      <c r="R161" s="157"/>
      <c r="S161" s="157"/>
      <c r="T161" s="108"/>
      <c r="U161" s="91">
        <v>1560.38</v>
      </c>
      <c r="V161" s="410"/>
    </row>
    <row r="162" spans="1:22" ht="12.75" customHeight="1" hidden="1">
      <c r="A162" s="275"/>
      <c r="B162" s="75" t="s">
        <v>164</v>
      </c>
      <c r="C162" s="339"/>
      <c r="D162" s="287"/>
      <c r="E162" s="346"/>
      <c r="F162" s="346"/>
      <c r="G162" s="105"/>
      <c r="H162" s="136"/>
      <c r="I162" s="106">
        <f>45+171.5</f>
        <v>216.5</v>
      </c>
      <c r="J162" s="107">
        <v>196</v>
      </c>
      <c r="K162" s="91">
        <v>196</v>
      </c>
      <c r="L162" s="157"/>
      <c r="M162" s="157">
        <f>24.5+196+24.5+24.5+147+24.5+24.5</f>
        <v>465.5</v>
      </c>
      <c r="N162" s="157">
        <f>196+24.5+24.5+171.5+24.5+24.5</f>
        <v>465.5</v>
      </c>
      <c r="O162" s="213">
        <f>196+24.5+24.5+171.5+24.5+24.5</f>
        <v>465.5</v>
      </c>
      <c r="P162" s="157"/>
      <c r="Q162" s="118">
        <f>I162+M162</f>
        <v>682</v>
      </c>
      <c r="R162" s="157"/>
      <c r="S162" s="157"/>
      <c r="T162" s="108"/>
      <c r="U162" s="91">
        <v>196</v>
      </c>
      <c r="V162" s="410"/>
    </row>
    <row r="163" spans="1:22" ht="12.75" customHeight="1" hidden="1">
      <c r="A163" s="275"/>
      <c r="B163" s="75" t="s">
        <v>236</v>
      </c>
      <c r="C163" s="339"/>
      <c r="D163" s="287"/>
      <c r="E163" s="346"/>
      <c r="F163" s="346"/>
      <c r="G163" s="231"/>
      <c r="H163" s="230"/>
      <c r="I163" s="106"/>
      <c r="J163" s="107"/>
      <c r="K163" s="213"/>
      <c r="L163" s="157"/>
      <c r="M163" s="157">
        <v>4.13</v>
      </c>
      <c r="N163" s="157">
        <v>4.13</v>
      </c>
      <c r="O163" s="213">
        <v>4.13</v>
      </c>
      <c r="P163" s="157"/>
      <c r="Q163" s="118"/>
      <c r="R163" s="157"/>
      <c r="S163" s="157"/>
      <c r="T163" s="108"/>
      <c r="U163" s="213"/>
      <c r="V163" s="410"/>
    </row>
    <row r="164" spans="1:22" ht="12.75" customHeight="1" hidden="1">
      <c r="A164" s="275"/>
      <c r="B164" s="115" t="s">
        <v>211</v>
      </c>
      <c r="C164" s="339"/>
      <c r="D164" s="287"/>
      <c r="E164" s="346"/>
      <c r="F164" s="346"/>
      <c r="G164" s="105"/>
      <c r="H164" s="136"/>
      <c r="I164" s="136"/>
      <c r="J164" s="136"/>
      <c r="K164" s="136"/>
      <c r="L164" s="136"/>
      <c r="M164" s="136"/>
      <c r="N164" s="117">
        <v>283.2</v>
      </c>
      <c r="O164" s="117">
        <v>283.2</v>
      </c>
      <c r="P164" s="136"/>
      <c r="Q164" s="118">
        <f>I164+M164</f>
        <v>0</v>
      </c>
      <c r="R164" s="144"/>
      <c r="S164" s="144"/>
      <c r="T164" s="136"/>
      <c r="U164" s="136"/>
      <c r="V164" s="410"/>
    </row>
    <row r="165" spans="1:22" ht="12.75" customHeight="1" hidden="1">
      <c r="A165" s="275"/>
      <c r="B165" s="115" t="s">
        <v>215</v>
      </c>
      <c r="C165" s="339"/>
      <c r="D165" s="287"/>
      <c r="E165" s="346"/>
      <c r="F165" s="346"/>
      <c r="G165" s="201"/>
      <c r="H165" s="199"/>
      <c r="I165" s="199"/>
      <c r="J165" s="199"/>
      <c r="K165" s="199"/>
      <c r="L165" s="199"/>
      <c r="M165" s="117">
        <f>2451.22+2120.015</f>
        <v>4571.235</v>
      </c>
      <c r="N165" s="199"/>
      <c r="O165" s="117"/>
      <c r="P165" s="199"/>
      <c r="Q165" s="118"/>
      <c r="R165" s="199"/>
      <c r="S165" s="199"/>
      <c r="T165" s="199"/>
      <c r="U165" s="199"/>
      <c r="V165" s="410"/>
    </row>
    <row r="166" spans="1:22" ht="12.75">
      <c r="A166" s="275"/>
      <c r="B166" s="23" t="s">
        <v>29</v>
      </c>
      <c r="C166" s="339"/>
      <c r="D166" s="287"/>
      <c r="E166" s="346"/>
      <c r="F166" s="346"/>
      <c r="G166" s="140">
        <f>SUM(G167)</f>
        <v>0</v>
      </c>
      <c r="H166" s="202">
        <f aca="true" t="shared" si="29" ref="H166:O166">SUM(H167)</f>
        <v>0</v>
      </c>
      <c r="I166" s="202">
        <f t="shared" si="29"/>
        <v>0</v>
      </c>
      <c r="J166" s="202">
        <f t="shared" si="29"/>
        <v>0</v>
      </c>
      <c r="K166" s="202">
        <f t="shared" si="29"/>
        <v>0</v>
      </c>
      <c r="L166" s="202">
        <f t="shared" si="29"/>
        <v>0</v>
      </c>
      <c r="M166" s="202">
        <f t="shared" si="29"/>
        <v>0</v>
      </c>
      <c r="N166" s="202">
        <f t="shared" si="29"/>
        <v>0</v>
      </c>
      <c r="O166" s="202">
        <f t="shared" si="29"/>
        <v>0</v>
      </c>
      <c r="P166" s="136">
        <f>H166+L166</f>
        <v>0</v>
      </c>
      <c r="Q166" s="144">
        <f>I166+M166</f>
        <v>0</v>
      </c>
      <c r="R166" s="144">
        <f>J166+N166</f>
        <v>0</v>
      </c>
      <c r="S166" s="144">
        <f>K166+O166</f>
        <v>0</v>
      </c>
      <c r="T166" s="136"/>
      <c r="U166" s="136"/>
      <c r="V166" s="410"/>
    </row>
    <row r="167" spans="1:22" ht="12.75">
      <c r="A167" s="275"/>
      <c r="B167" s="44" t="s">
        <v>53</v>
      </c>
      <c r="C167" s="339"/>
      <c r="D167" s="287"/>
      <c r="E167" s="346"/>
      <c r="F167" s="346"/>
      <c r="G167" s="139">
        <f>SUM(H167:U167)</f>
        <v>0</v>
      </c>
      <c r="H167" s="136"/>
      <c r="I167" s="136"/>
      <c r="J167" s="136"/>
      <c r="K167" s="136"/>
      <c r="L167" s="136"/>
      <c r="M167" s="136"/>
      <c r="N167" s="136"/>
      <c r="O167" s="136"/>
      <c r="P167" s="144">
        <f aca="true" t="shared" si="30" ref="P167:S185">H167+L167</f>
        <v>0</v>
      </c>
      <c r="Q167" s="144">
        <f t="shared" si="30"/>
        <v>0</v>
      </c>
      <c r="R167" s="144">
        <f t="shared" si="30"/>
        <v>0</v>
      </c>
      <c r="S167" s="144">
        <f t="shared" si="30"/>
        <v>0</v>
      </c>
      <c r="T167" s="136"/>
      <c r="U167" s="136"/>
      <c r="V167" s="410"/>
    </row>
    <row r="168" spans="1:22" ht="12.75">
      <c r="A168" s="275"/>
      <c r="B168" s="23" t="s">
        <v>30</v>
      </c>
      <c r="C168" s="339"/>
      <c r="D168" s="287"/>
      <c r="E168" s="346"/>
      <c r="F168" s="346"/>
      <c r="G168" s="140">
        <f>SUM(G169:G177)</f>
        <v>832573.7</v>
      </c>
      <c r="H168" s="140">
        <f>SUM(H169:H177)</f>
        <v>832573.7</v>
      </c>
      <c r="I168" s="140">
        <f>I169+I173+I177</f>
        <v>391444.0149999999</v>
      </c>
      <c r="J168" s="140">
        <f>J169+J173+J177</f>
        <v>439509.608</v>
      </c>
      <c r="K168" s="128">
        <f>K169+K173+K177</f>
        <v>439509.608</v>
      </c>
      <c r="L168" s="128">
        <f>L169+L173+L177</f>
        <v>0</v>
      </c>
      <c r="M168" s="152">
        <f>M169+M173+M177</f>
        <v>184890.501</v>
      </c>
      <c r="N168" s="216">
        <f>N169+N173+N177</f>
        <v>146673.14299999998</v>
      </c>
      <c r="O168" s="216">
        <f>O169+O173+O177</f>
        <v>146673.14299999998</v>
      </c>
      <c r="P168" s="144">
        <f t="shared" si="30"/>
        <v>832573.7</v>
      </c>
      <c r="Q168" s="144">
        <f t="shared" si="30"/>
        <v>576334.5159999998</v>
      </c>
      <c r="R168" s="144">
        <f t="shared" si="30"/>
        <v>586182.7509999999</v>
      </c>
      <c r="S168" s="144">
        <f t="shared" si="30"/>
        <v>586182.7509999999</v>
      </c>
      <c r="T168" s="140">
        <f>T169+T173+T177</f>
        <v>77717.70900000002</v>
      </c>
      <c r="U168" s="140">
        <f>U169+U173+U177</f>
        <v>439509.608</v>
      </c>
      <c r="V168" s="410"/>
    </row>
    <row r="169" spans="1:22" ht="12.75">
      <c r="A169" s="275"/>
      <c r="B169" s="44" t="s">
        <v>31</v>
      </c>
      <c r="C169" s="357"/>
      <c r="D169" s="346"/>
      <c r="E169" s="346"/>
      <c r="F169" s="346"/>
      <c r="G169" s="139">
        <f>SUM(H169)</f>
        <v>670084.2</v>
      </c>
      <c r="H169" s="139">
        <f>439426.4+230657.8</f>
        <v>670084.2</v>
      </c>
      <c r="I169" s="139">
        <f>SUM(I170:I171)</f>
        <v>288879.9709999999</v>
      </c>
      <c r="J169" s="139">
        <f>SUM(J170:J172)</f>
        <v>327492.69</v>
      </c>
      <c r="K169" s="139">
        <f>SUM(K170:K172)</f>
        <v>327492.69</v>
      </c>
      <c r="L169" s="139">
        <f>SUM(L170:L172)</f>
        <v>0</v>
      </c>
      <c r="M169" s="153">
        <f>SUM(M170:M172)</f>
        <v>159979.343</v>
      </c>
      <c r="N169" s="200">
        <f>SUM(N170:N171)</f>
        <v>128604.74</v>
      </c>
      <c r="O169" s="200">
        <f>SUM(O170:O171)</f>
        <v>128604.74</v>
      </c>
      <c r="P169" s="151">
        <f t="shared" si="30"/>
        <v>670084.2</v>
      </c>
      <c r="Q169" s="151">
        <f t="shared" si="30"/>
        <v>448859.3139999999</v>
      </c>
      <c r="R169" s="151">
        <f t="shared" si="30"/>
        <v>456097.43</v>
      </c>
      <c r="S169" s="151">
        <f t="shared" si="30"/>
        <v>456097.43</v>
      </c>
      <c r="T169" s="139">
        <f>SUM(T170:T171)</f>
        <v>74142.41200000001</v>
      </c>
      <c r="U169" s="139">
        <f>SUM(U170:U172)</f>
        <v>327492.69</v>
      </c>
      <c r="V169" s="410"/>
    </row>
    <row r="170" spans="1:22" ht="13.5" hidden="1">
      <c r="A170" s="275"/>
      <c r="B170" s="75" t="s">
        <v>165</v>
      </c>
      <c r="C170" s="357"/>
      <c r="D170" s="346"/>
      <c r="E170" s="346"/>
      <c r="F170" s="346"/>
      <c r="G170" s="139"/>
      <c r="H170" s="139"/>
      <c r="I170" s="89">
        <f>18710.06+16972.4+13227.377+14316.43+35673.48+24690.182+33584.833+50742.454+17882.464+60819.3479999999</f>
        <v>286619.0279999999</v>
      </c>
      <c r="J170" s="91">
        <f>43942.635+16972.4+13227.377+14316.434+32284.497+3388.98+24690.182+159197.694</f>
        <v>308020.199</v>
      </c>
      <c r="K170" s="91">
        <f>43942.635+16972.4+13227.377+14316.434+32284.497+3388.98+24690.182+159197.694</f>
        <v>308020.199</v>
      </c>
      <c r="L170" s="91"/>
      <c r="M170" s="91">
        <f>1290.6+9069.511+13883.899+13027.387+19534.006+30752.158+5840.085+2082.139+4115.875+3500.253+3809.903+7634.506+27168.895</f>
        <v>141709.217</v>
      </c>
      <c r="N170" s="91">
        <f>33473.808+52387.55+41606.488</f>
        <v>127467.846</v>
      </c>
      <c r="O170" s="91">
        <f>33473.808+52387.55+41606.488</f>
        <v>127467.846</v>
      </c>
      <c r="P170" s="118">
        <f t="shared" si="30"/>
        <v>0</v>
      </c>
      <c r="Q170" s="118">
        <f t="shared" si="30"/>
        <v>428328.2449999999</v>
      </c>
      <c r="R170" s="118">
        <f t="shared" si="30"/>
        <v>435488.04500000004</v>
      </c>
      <c r="S170" s="118">
        <f t="shared" si="30"/>
        <v>435488.04500000004</v>
      </c>
      <c r="T170" s="91">
        <f>43942.635+16972.4+13227.377</f>
        <v>74142.41200000001</v>
      </c>
      <c r="U170" s="91">
        <f>43942.635+16972.4+13227.377+14316.434+32284.497+3388.98+24690.182+159197.694</f>
        <v>308020.199</v>
      </c>
      <c r="V170" s="410"/>
    </row>
    <row r="171" spans="1:23" ht="13.5" hidden="1">
      <c r="A171" s="275"/>
      <c r="B171" s="75" t="s">
        <v>166</v>
      </c>
      <c r="C171" s="357"/>
      <c r="D171" s="346"/>
      <c r="E171" s="346"/>
      <c r="F171" s="346"/>
      <c r="G171" s="139"/>
      <c r="H171" s="139"/>
      <c r="I171" s="89">
        <f>553.7+901.21+806.033</f>
        <v>2260.943</v>
      </c>
      <c r="J171" s="89">
        <f>553.7+901.208+806.033</f>
        <v>2260.941</v>
      </c>
      <c r="K171" s="91">
        <f>100+100+353.7+901.208+806.033</f>
        <v>2260.941</v>
      </c>
      <c r="L171" s="91"/>
      <c r="M171" s="155">
        <f>421.795+636.781</f>
        <v>1058.576</v>
      </c>
      <c r="N171" s="155">
        <f>500.113+636.781</f>
        <v>1136.894</v>
      </c>
      <c r="O171" s="91">
        <f>500.113+636.781</f>
        <v>1136.894</v>
      </c>
      <c r="P171" s="118">
        <f t="shared" si="30"/>
        <v>0</v>
      </c>
      <c r="Q171" s="118">
        <f t="shared" si="30"/>
        <v>3319.5190000000002</v>
      </c>
      <c r="R171" s="118">
        <f t="shared" si="30"/>
        <v>3397.835</v>
      </c>
      <c r="S171" s="118">
        <f t="shared" si="30"/>
        <v>3397.835</v>
      </c>
      <c r="T171" s="109"/>
      <c r="U171" s="91">
        <f>100+100+353.7+901.208+806.033</f>
        <v>2260.941</v>
      </c>
      <c r="V171" s="410"/>
      <c r="W171" s="129" t="s">
        <v>240</v>
      </c>
    </row>
    <row r="172" spans="1:22" ht="13.5" hidden="1">
      <c r="A172" s="275"/>
      <c r="B172" s="75" t="s">
        <v>167</v>
      </c>
      <c r="C172" s="357"/>
      <c r="D172" s="346"/>
      <c r="E172" s="346"/>
      <c r="F172" s="346"/>
      <c r="G172" s="139"/>
      <c r="H172" s="139"/>
      <c r="I172" s="89"/>
      <c r="J172" s="89">
        <v>17211.55</v>
      </c>
      <c r="K172" s="91">
        <v>17211.55</v>
      </c>
      <c r="L172" s="91"/>
      <c r="M172" s="155">
        <v>17211.55</v>
      </c>
      <c r="N172" s="155"/>
      <c r="O172" s="91"/>
      <c r="P172" s="118">
        <f t="shared" si="30"/>
        <v>0</v>
      </c>
      <c r="Q172" s="118">
        <f t="shared" si="30"/>
        <v>17211.55</v>
      </c>
      <c r="R172" s="118">
        <f t="shared" si="30"/>
        <v>17211.55</v>
      </c>
      <c r="S172" s="118">
        <f t="shared" si="30"/>
        <v>17211.55</v>
      </c>
      <c r="T172" s="109"/>
      <c r="U172" s="91">
        <v>17211.55</v>
      </c>
      <c r="V172" s="410"/>
    </row>
    <row r="173" spans="1:22" ht="12.75">
      <c r="A173" s="275"/>
      <c r="B173" s="41" t="s">
        <v>32</v>
      </c>
      <c r="C173" s="357"/>
      <c r="D173" s="346"/>
      <c r="E173" s="346"/>
      <c r="F173" s="346"/>
      <c r="G173" s="139">
        <f>SUM(H173)</f>
        <v>31396.6</v>
      </c>
      <c r="H173" s="139">
        <f>17431.3+13965.3</f>
        <v>31396.6</v>
      </c>
      <c r="I173" s="139">
        <f>SUM(I174:I175)</f>
        <v>15383.669</v>
      </c>
      <c r="J173" s="139">
        <f>SUM(J174:J175)</f>
        <v>17113.269</v>
      </c>
      <c r="K173" s="139">
        <f>SUM(K174:K175)</f>
        <v>17113.269</v>
      </c>
      <c r="L173" s="139">
        <f>SUM(L174:L175)</f>
        <v>0</v>
      </c>
      <c r="M173" s="153">
        <f>SUM(M174:M176)</f>
        <v>7860.107</v>
      </c>
      <c r="N173" s="200">
        <f>SUM(N174:N175)</f>
        <v>5361.956</v>
      </c>
      <c r="O173" s="211">
        <f>SUM(O174:O175)</f>
        <v>5361.956</v>
      </c>
      <c r="P173" s="151">
        <f t="shared" si="30"/>
        <v>31396.6</v>
      </c>
      <c r="Q173" s="151">
        <f t="shared" si="30"/>
        <v>23243.775999999998</v>
      </c>
      <c r="R173" s="151">
        <f t="shared" si="30"/>
        <v>22475.225</v>
      </c>
      <c r="S173" s="151">
        <f t="shared" si="30"/>
        <v>22475.225</v>
      </c>
      <c r="T173" s="139">
        <f>SUM(T174:T175)</f>
        <v>3575.297</v>
      </c>
      <c r="U173" s="139">
        <f>SUM(U174:U175)</f>
        <v>17113.269</v>
      </c>
      <c r="V173" s="410"/>
    </row>
    <row r="174" spans="1:22" ht="13.5" hidden="1">
      <c r="A174" s="275"/>
      <c r="B174" s="75" t="s">
        <v>165</v>
      </c>
      <c r="C174" s="357"/>
      <c r="D174" s="346"/>
      <c r="E174" s="346"/>
      <c r="F174" s="346"/>
      <c r="G174" s="139"/>
      <c r="H174" s="139"/>
      <c r="I174" s="89">
        <f>1027.6+804.564+2169.86+870.807+1501.797+2033.406+3086.445+710.286+3143.508</f>
        <v>15348.273</v>
      </c>
      <c r="J174" s="91">
        <f>1743.133+1027.6+804.564+870.807+2169.863+1501.797+138.812+8821.299</f>
        <v>17077.875</v>
      </c>
      <c r="K174" s="91">
        <f>1743.133+1027.6+804.564+870.807+2169.863+1501.797+138.812+8821.299</f>
        <v>17077.875</v>
      </c>
      <c r="L174" s="91"/>
      <c r="M174" s="91">
        <f>47.896+378.126+579.349+543.8+815.405+1283.683+243.782+86.879+171.808+146.111+159.036+318.686+1134.107</f>
        <v>5908.668</v>
      </c>
      <c r="N174" s="91">
        <f>1408.372+2186.774+1736.774</f>
        <v>5331.92</v>
      </c>
      <c r="O174" s="91">
        <f>1408.372+2186.774+1736.774</f>
        <v>5331.92</v>
      </c>
      <c r="P174" s="118">
        <f t="shared" si="30"/>
        <v>0</v>
      </c>
      <c r="Q174" s="118">
        <f t="shared" si="30"/>
        <v>21256.941</v>
      </c>
      <c r="R174" s="118">
        <f t="shared" si="30"/>
        <v>22409.795</v>
      </c>
      <c r="S174" s="118">
        <f t="shared" si="30"/>
        <v>22409.795</v>
      </c>
      <c r="T174" s="91">
        <f>1743.133+1027.6+804.564</f>
        <v>3575.297</v>
      </c>
      <c r="U174" s="91">
        <f>1743.133+1027.6+804.564+870.807+2169.863+1501.797+138.812+8821.299</f>
        <v>17077.875</v>
      </c>
      <c r="V174" s="410"/>
    </row>
    <row r="175" spans="1:22" ht="13.5" hidden="1">
      <c r="A175" s="275"/>
      <c r="B175" s="75" t="s">
        <v>166</v>
      </c>
      <c r="C175" s="357"/>
      <c r="D175" s="346"/>
      <c r="E175" s="346"/>
      <c r="F175" s="346"/>
      <c r="G175" s="139"/>
      <c r="H175" s="139"/>
      <c r="I175" s="89">
        <f>16.36+19.036</f>
        <v>35.396</v>
      </c>
      <c r="J175" s="89">
        <f>16.358+19.036</f>
        <v>35.394000000000005</v>
      </c>
      <c r="K175" s="91">
        <f>16.358+19.036</f>
        <v>35.394000000000005</v>
      </c>
      <c r="L175" s="91"/>
      <c r="M175" s="155">
        <f>15.653+30.036</f>
        <v>45.689</v>
      </c>
      <c r="N175" s="155">
        <f>30.036</f>
        <v>30.036</v>
      </c>
      <c r="O175" s="91">
        <f>30.036</f>
        <v>30.036</v>
      </c>
      <c r="P175" s="118">
        <f t="shared" si="30"/>
        <v>0</v>
      </c>
      <c r="Q175" s="118">
        <f t="shared" si="30"/>
        <v>81.08500000000001</v>
      </c>
      <c r="R175" s="118">
        <f t="shared" si="30"/>
        <v>65.43</v>
      </c>
      <c r="S175" s="118">
        <f t="shared" si="30"/>
        <v>65.43</v>
      </c>
      <c r="T175" s="109"/>
      <c r="U175" s="91">
        <f>16.358+19.036</f>
        <v>35.394000000000005</v>
      </c>
      <c r="V175" s="410"/>
    </row>
    <row r="176" spans="1:22" ht="13.5" hidden="1">
      <c r="A176" s="275"/>
      <c r="B176" s="75" t="s">
        <v>167</v>
      </c>
      <c r="C176" s="357"/>
      <c r="D176" s="346"/>
      <c r="E176" s="346"/>
      <c r="F176" s="346"/>
      <c r="G176" s="235"/>
      <c r="H176" s="235"/>
      <c r="I176" s="89"/>
      <c r="J176" s="89"/>
      <c r="K176" s="91"/>
      <c r="L176" s="91"/>
      <c r="M176" s="155">
        <v>1905.75</v>
      </c>
      <c r="N176" s="155"/>
      <c r="O176" s="91"/>
      <c r="P176" s="118"/>
      <c r="Q176" s="118"/>
      <c r="R176" s="118"/>
      <c r="S176" s="118"/>
      <c r="T176" s="109"/>
      <c r="U176" s="91"/>
      <c r="V176" s="410"/>
    </row>
    <row r="177" spans="1:22" ht="12.75">
      <c r="A177" s="275"/>
      <c r="B177" s="41" t="s">
        <v>33</v>
      </c>
      <c r="C177" s="357"/>
      <c r="D177" s="346"/>
      <c r="E177" s="346"/>
      <c r="F177" s="346"/>
      <c r="G177" s="139">
        <f>SUM(H177)</f>
        <v>131092.9</v>
      </c>
      <c r="H177" s="139">
        <v>131092.9</v>
      </c>
      <c r="I177" s="139">
        <f>SUM(I178:I179)</f>
        <v>87180.375</v>
      </c>
      <c r="J177" s="139">
        <f>SUM(J178:J180)</f>
        <v>94903.649</v>
      </c>
      <c r="K177" s="139">
        <f>SUM(K178:K180)</f>
        <v>94903.649</v>
      </c>
      <c r="L177" s="139">
        <f>SUM(L178:L180)</f>
        <v>0</v>
      </c>
      <c r="M177" s="153">
        <f>SUM(M178:M180)</f>
        <v>17051.051000000003</v>
      </c>
      <c r="N177" s="200">
        <f>SUM(N178:N179)</f>
        <v>12706.447</v>
      </c>
      <c r="O177" s="211">
        <f>SUM(O178:O179)</f>
        <v>12706.447</v>
      </c>
      <c r="P177" s="151">
        <f t="shared" si="30"/>
        <v>131092.9</v>
      </c>
      <c r="Q177" s="151">
        <f t="shared" si="30"/>
        <v>104231.426</v>
      </c>
      <c r="R177" s="151">
        <f t="shared" si="30"/>
        <v>107610.096</v>
      </c>
      <c r="S177" s="151">
        <f t="shared" si="30"/>
        <v>107610.096</v>
      </c>
      <c r="T177" s="139">
        <f>SUM(T178:T179)</f>
        <v>0</v>
      </c>
      <c r="U177" s="139">
        <f>SUM(U178:U180)</f>
        <v>94903.649</v>
      </c>
      <c r="V177" s="410"/>
    </row>
    <row r="178" spans="1:23" ht="13.5" hidden="1">
      <c r="A178" s="275"/>
      <c r="B178" s="75" t="s">
        <v>165</v>
      </c>
      <c r="C178" s="357"/>
      <c r="D178" s="346"/>
      <c r="E178" s="346"/>
      <c r="F178" s="346"/>
      <c r="G178" s="139"/>
      <c r="H178" s="139"/>
      <c r="I178" s="89">
        <f>23315.96+8546.6+393.91+3366.538+3643.72+9079.36+6283.969+8508.385+12914.608+2841.145+8144.611</f>
        <v>87038.806</v>
      </c>
      <c r="J178" s="89">
        <f>23315.955+4600+8546.6+393.908+3366.538+3643.717+9079.361+6283.969+799.314+31800.021</f>
        <v>91829.383</v>
      </c>
      <c r="K178" s="91">
        <f>23315.955+4600+8546.6+393.908+3366.538+3643.717+9079.361+6283.969+799.314+31800.021</f>
        <v>91829.383</v>
      </c>
      <c r="L178" s="91"/>
      <c r="M178" s="155">
        <f>191.738+958.047+1466.092+1268.825+1902.548+2995.159+568.804+201.879+400.872+340.913+371.073+743.576+2646.161</f>
        <v>14055.687000000002</v>
      </c>
      <c r="N178" s="155">
        <f>3552.562+5101.55+4052.335</f>
        <v>12706.447</v>
      </c>
      <c r="O178" s="91">
        <f>3552.562+5101.55+4052.335</f>
        <v>12706.447</v>
      </c>
      <c r="P178" s="118">
        <f t="shared" si="30"/>
        <v>0</v>
      </c>
      <c r="Q178" s="118">
        <f t="shared" si="30"/>
        <v>101094.493</v>
      </c>
      <c r="R178" s="118">
        <f t="shared" si="30"/>
        <v>104535.83</v>
      </c>
      <c r="S178" s="118">
        <f t="shared" si="30"/>
        <v>104535.83</v>
      </c>
      <c r="T178" s="110"/>
      <c r="U178" s="91">
        <f>23315.955+4600+8546.6+393.908+3366.538+3643.717+9079.361+6283.969+799.314+31800.021</f>
        <v>91829.383</v>
      </c>
      <c r="V178" s="410"/>
      <c r="W178" s="236"/>
    </row>
    <row r="179" spans="1:22" ht="13.5" hidden="1">
      <c r="A179" s="275"/>
      <c r="B179" s="75" t="s">
        <v>166</v>
      </c>
      <c r="C179" s="357"/>
      <c r="D179" s="346"/>
      <c r="E179" s="346"/>
      <c r="F179" s="346"/>
      <c r="G179" s="139"/>
      <c r="H179" s="139"/>
      <c r="I179" s="89">
        <f>65.43+76.139</f>
        <v>141.56900000000002</v>
      </c>
      <c r="J179" s="111">
        <f>65.427+76.139</f>
        <v>141.566</v>
      </c>
      <c r="K179" s="114">
        <f>65.427+76.139</f>
        <v>141.566</v>
      </c>
      <c r="L179" s="114"/>
      <c r="M179" s="158">
        <v>62.664</v>
      </c>
      <c r="N179" s="158"/>
      <c r="O179" s="114"/>
      <c r="P179" s="118">
        <f t="shared" si="30"/>
        <v>0</v>
      </c>
      <c r="Q179" s="118">
        <f t="shared" si="30"/>
        <v>204.233</v>
      </c>
      <c r="R179" s="118">
        <f t="shared" si="30"/>
        <v>141.566</v>
      </c>
      <c r="S179" s="118">
        <f t="shared" si="30"/>
        <v>141.566</v>
      </c>
      <c r="T179" s="112"/>
      <c r="U179" s="113">
        <f>65.427+76.139</f>
        <v>141.566</v>
      </c>
      <c r="V179" s="410"/>
    </row>
    <row r="180" spans="1:22" ht="13.5" hidden="1">
      <c r="A180" s="275"/>
      <c r="B180" s="75" t="s">
        <v>167</v>
      </c>
      <c r="C180" s="357"/>
      <c r="D180" s="346"/>
      <c r="E180" s="346"/>
      <c r="F180" s="346"/>
      <c r="G180" s="139"/>
      <c r="H180" s="139"/>
      <c r="I180" s="89"/>
      <c r="J180" s="111">
        <v>2932.7</v>
      </c>
      <c r="K180" s="114">
        <v>2932.7</v>
      </c>
      <c r="L180" s="114"/>
      <c r="M180" s="158">
        <v>2932.7</v>
      </c>
      <c r="N180" s="158"/>
      <c r="O180" s="114"/>
      <c r="P180" s="118">
        <f t="shared" si="30"/>
        <v>0</v>
      </c>
      <c r="Q180" s="118">
        <f t="shared" si="30"/>
        <v>2932.7</v>
      </c>
      <c r="R180" s="118">
        <f t="shared" si="30"/>
        <v>2932.7</v>
      </c>
      <c r="S180" s="118">
        <f t="shared" si="30"/>
        <v>2932.7</v>
      </c>
      <c r="T180" s="112"/>
      <c r="U180" s="114">
        <v>2932.7</v>
      </c>
      <c r="V180" s="410"/>
    </row>
    <row r="181" spans="1:22" ht="12.75">
      <c r="A181" s="275"/>
      <c r="B181" s="22" t="s">
        <v>55</v>
      </c>
      <c r="C181" s="357"/>
      <c r="D181" s="346"/>
      <c r="E181" s="346"/>
      <c r="F181" s="346"/>
      <c r="G181" s="140">
        <f>SUM(G182:G185)</f>
        <v>1366800</v>
      </c>
      <c r="H181" s="140">
        <f>SUM(H182:H185)</f>
        <v>683400</v>
      </c>
      <c r="I181" s="140">
        <f>SUM(I182:I185)</f>
        <v>73211.208</v>
      </c>
      <c r="J181" s="140">
        <f>SUM(J182:J185)</f>
        <v>0</v>
      </c>
      <c r="K181" s="140">
        <f>SUM(K182:K185)</f>
        <v>0</v>
      </c>
      <c r="L181" s="140">
        <f>SUM(L182:L185)</f>
        <v>0</v>
      </c>
      <c r="M181" s="202">
        <f>SUM(M182:M185)</f>
        <v>0</v>
      </c>
      <c r="N181" s="202">
        <f>SUM(N182:N185)</f>
        <v>0</v>
      </c>
      <c r="O181" s="210">
        <f>SUM(O182:O185)</f>
        <v>0</v>
      </c>
      <c r="P181" s="144">
        <f t="shared" si="30"/>
        <v>683400</v>
      </c>
      <c r="Q181" s="144">
        <f t="shared" si="30"/>
        <v>73211.208</v>
      </c>
      <c r="R181" s="144">
        <f t="shared" si="30"/>
        <v>0</v>
      </c>
      <c r="S181" s="144">
        <f t="shared" si="30"/>
        <v>0</v>
      </c>
      <c r="T181" s="140">
        <f>SUM(T182:T185)</f>
        <v>0</v>
      </c>
      <c r="U181" s="140">
        <f>SUM(U182:U185)</f>
        <v>0</v>
      </c>
      <c r="V181" s="357"/>
    </row>
    <row r="182" spans="1:22" ht="12.75">
      <c r="A182" s="275"/>
      <c r="B182" s="41" t="s">
        <v>56</v>
      </c>
      <c r="C182" s="357"/>
      <c r="D182" s="346"/>
      <c r="E182" s="346"/>
      <c r="F182" s="346"/>
      <c r="G182" s="139">
        <f>SUM(H182:U182)</f>
        <v>714000</v>
      </c>
      <c r="H182" s="139">
        <v>357000</v>
      </c>
      <c r="I182" s="139"/>
      <c r="J182" s="139"/>
      <c r="K182" s="139"/>
      <c r="L182" s="139"/>
      <c r="M182" s="139"/>
      <c r="N182" s="139"/>
      <c r="O182" s="211"/>
      <c r="P182" s="151">
        <f t="shared" si="30"/>
        <v>357000</v>
      </c>
      <c r="Q182" s="151">
        <f t="shared" si="30"/>
        <v>0</v>
      </c>
      <c r="R182" s="151">
        <f t="shared" si="30"/>
        <v>0</v>
      </c>
      <c r="S182" s="151">
        <f t="shared" si="30"/>
        <v>0</v>
      </c>
      <c r="T182" s="140"/>
      <c r="U182" s="140"/>
      <c r="V182" s="357"/>
    </row>
    <row r="183" spans="1:22" ht="12.75">
      <c r="A183" s="346"/>
      <c r="B183" s="41" t="s">
        <v>57</v>
      </c>
      <c r="C183" s="357"/>
      <c r="D183" s="346"/>
      <c r="E183" s="346"/>
      <c r="F183" s="346"/>
      <c r="G183" s="139">
        <f>SUM(H183:U183)</f>
        <v>652800</v>
      </c>
      <c r="H183" s="139">
        <v>326400</v>
      </c>
      <c r="I183" s="139"/>
      <c r="J183" s="139"/>
      <c r="K183" s="139"/>
      <c r="L183" s="139"/>
      <c r="M183" s="139"/>
      <c r="N183" s="139"/>
      <c r="O183" s="211"/>
      <c r="P183" s="151">
        <f t="shared" si="30"/>
        <v>326400</v>
      </c>
      <c r="Q183" s="151">
        <f t="shared" si="30"/>
        <v>0</v>
      </c>
      <c r="R183" s="151">
        <f t="shared" si="30"/>
        <v>0</v>
      </c>
      <c r="S183" s="151">
        <f t="shared" si="30"/>
        <v>0</v>
      </c>
      <c r="T183" s="140"/>
      <c r="U183" s="139"/>
      <c r="V183" s="357"/>
    </row>
    <row r="184" spans="1:22" ht="12.75" customHeight="1" hidden="1">
      <c r="A184" s="346"/>
      <c r="B184" s="75" t="s">
        <v>168</v>
      </c>
      <c r="C184" s="357"/>
      <c r="D184" s="346"/>
      <c r="E184" s="346"/>
      <c r="F184" s="346"/>
      <c r="G184" s="139"/>
      <c r="H184" s="139"/>
      <c r="I184" s="106">
        <f>1147.119+999.85+665.384+3128.252+3293.536+1610.884+60414.68+1951.503</f>
        <v>73211.208</v>
      </c>
      <c r="J184" s="139"/>
      <c r="K184" s="139"/>
      <c r="L184" s="139"/>
      <c r="M184" s="139"/>
      <c r="N184" s="139"/>
      <c r="O184" s="139"/>
      <c r="P184" s="144">
        <f t="shared" si="30"/>
        <v>0</v>
      </c>
      <c r="Q184" s="144">
        <f t="shared" si="30"/>
        <v>73211.208</v>
      </c>
      <c r="R184" s="144">
        <f t="shared" si="30"/>
        <v>0</v>
      </c>
      <c r="S184" s="144">
        <f t="shared" si="30"/>
        <v>0</v>
      </c>
      <c r="T184" s="140"/>
      <c r="U184" s="139"/>
      <c r="V184" s="357"/>
    </row>
    <row r="185" spans="1:22" ht="12.75">
      <c r="A185" s="345"/>
      <c r="B185" s="23" t="s">
        <v>38</v>
      </c>
      <c r="C185" s="358"/>
      <c r="D185" s="345"/>
      <c r="E185" s="345"/>
      <c r="F185" s="345"/>
      <c r="G185" s="140">
        <f>SUM(H185:U185)</f>
        <v>0</v>
      </c>
      <c r="H185" s="140">
        <v>0</v>
      </c>
      <c r="I185" s="140"/>
      <c r="J185" s="140"/>
      <c r="K185" s="140"/>
      <c r="L185" s="140"/>
      <c r="M185" s="140"/>
      <c r="N185" s="140"/>
      <c r="O185" s="140"/>
      <c r="P185" s="144">
        <f t="shared" si="30"/>
        <v>0</v>
      </c>
      <c r="Q185" s="144">
        <f t="shared" si="30"/>
        <v>0</v>
      </c>
      <c r="R185" s="144">
        <f t="shared" si="30"/>
        <v>0</v>
      </c>
      <c r="S185" s="144">
        <f t="shared" si="30"/>
        <v>0</v>
      </c>
      <c r="T185" s="140">
        <v>0</v>
      </c>
      <c r="U185" s="140">
        <v>0</v>
      </c>
      <c r="V185" s="358"/>
    </row>
    <row r="186" spans="1:22" ht="12.75">
      <c r="A186" s="274" t="s">
        <v>88</v>
      </c>
      <c r="B186" s="21" t="s">
        <v>119</v>
      </c>
      <c r="C186" s="289" t="s">
        <v>43</v>
      </c>
      <c r="D186" s="286" t="s">
        <v>2</v>
      </c>
      <c r="E186" s="258">
        <v>30</v>
      </c>
      <c r="F186" s="353" t="s">
        <v>18</v>
      </c>
      <c r="G186" s="25">
        <f>G187+G189+G191+G195+G196</f>
        <v>1081.5</v>
      </c>
      <c r="H186" s="25">
        <f>H187+H189+H191+H195+H196</f>
        <v>0</v>
      </c>
      <c r="I186" s="184"/>
      <c r="J186" s="184"/>
      <c r="K186" s="184"/>
      <c r="L186" s="25">
        <f>L187+L189+L191+L195+L196</f>
        <v>1081.5</v>
      </c>
      <c r="M186" s="207">
        <v>0</v>
      </c>
      <c r="N186" s="207">
        <v>0</v>
      </c>
      <c r="O186" s="207">
        <v>0</v>
      </c>
      <c r="P186" s="25">
        <f>H186+L186</f>
        <v>1081.5</v>
      </c>
      <c r="Q186" s="25">
        <f>I186+M186</f>
        <v>0</v>
      </c>
      <c r="R186" s="25">
        <f>J186+N186</f>
        <v>0</v>
      </c>
      <c r="S186" s="25">
        <f>K186+O186</f>
        <v>0</v>
      </c>
      <c r="T186" s="26"/>
      <c r="U186" s="26"/>
      <c r="V186" s="262"/>
    </row>
    <row r="187" spans="1:22" ht="12.75">
      <c r="A187" s="275"/>
      <c r="B187" s="22" t="s">
        <v>127</v>
      </c>
      <c r="C187" s="290"/>
      <c r="D187" s="287"/>
      <c r="E187" s="346"/>
      <c r="F187" s="354"/>
      <c r="G187" s="256">
        <v>1081.5</v>
      </c>
      <c r="H187" s="256">
        <v>0</v>
      </c>
      <c r="I187" s="134"/>
      <c r="J187" s="134"/>
      <c r="K187" s="134"/>
      <c r="L187" s="256">
        <v>1081.5</v>
      </c>
      <c r="M187" s="134"/>
      <c r="N187" s="134"/>
      <c r="O187" s="134"/>
      <c r="P187" s="256">
        <f aca="true" t="shared" si="31" ref="P187:S188">H187+L187</f>
        <v>1081.5</v>
      </c>
      <c r="Q187" s="256">
        <f t="shared" si="31"/>
        <v>0</v>
      </c>
      <c r="R187" s="256">
        <f t="shared" si="31"/>
        <v>0</v>
      </c>
      <c r="S187" s="256">
        <f t="shared" si="31"/>
        <v>0</v>
      </c>
      <c r="T187" s="256">
        <v>1081.5</v>
      </c>
      <c r="U187" s="256"/>
      <c r="V187" s="263"/>
    </row>
    <row r="188" spans="1:22" ht="12.75">
      <c r="A188" s="275"/>
      <c r="B188" s="40" t="s">
        <v>27</v>
      </c>
      <c r="C188" s="290"/>
      <c r="D188" s="287"/>
      <c r="E188" s="346"/>
      <c r="F188" s="354"/>
      <c r="G188" s="273"/>
      <c r="H188" s="273"/>
      <c r="I188" s="136"/>
      <c r="J188" s="136"/>
      <c r="K188" s="136"/>
      <c r="L188" s="273"/>
      <c r="M188" s="136"/>
      <c r="N188" s="136"/>
      <c r="O188" s="136"/>
      <c r="P188" s="273">
        <f t="shared" si="31"/>
        <v>0</v>
      </c>
      <c r="Q188" s="273">
        <f t="shared" si="31"/>
        <v>0</v>
      </c>
      <c r="R188" s="273">
        <f t="shared" si="31"/>
        <v>0</v>
      </c>
      <c r="S188" s="273">
        <f t="shared" si="31"/>
        <v>0</v>
      </c>
      <c r="T188" s="273"/>
      <c r="U188" s="273"/>
      <c r="V188" s="263"/>
    </row>
    <row r="189" spans="1:22" ht="12.75">
      <c r="A189" s="275"/>
      <c r="B189" s="23" t="s">
        <v>29</v>
      </c>
      <c r="C189" s="290"/>
      <c r="D189" s="287"/>
      <c r="E189" s="346"/>
      <c r="F189" s="354"/>
      <c r="G189" s="152">
        <v>0</v>
      </c>
      <c r="H189" s="136"/>
      <c r="I189" s="136"/>
      <c r="J189" s="136"/>
      <c r="K189" s="136"/>
      <c r="L189" s="140">
        <v>0</v>
      </c>
      <c r="M189" s="136"/>
      <c r="N189" s="136"/>
      <c r="O189" s="136"/>
      <c r="P189" s="152">
        <f>H189+L189</f>
        <v>0</v>
      </c>
      <c r="Q189" s="152">
        <f>I189+M189</f>
        <v>0</v>
      </c>
      <c r="R189" s="152">
        <f>J189+N189</f>
        <v>0</v>
      </c>
      <c r="S189" s="152">
        <f>K189+O189</f>
        <v>0</v>
      </c>
      <c r="T189" s="136"/>
      <c r="U189" s="136"/>
      <c r="V189" s="263"/>
    </row>
    <row r="190" spans="1:22" ht="12.75">
      <c r="A190" s="275"/>
      <c r="B190" s="44" t="s">
        <v>39</v>
      </c>
      <c r="C190" s="290"/>
      <c r="D190" s="287"/>
      <c r="E190" s="346"/>
      <c r="F190" s="354"/>
      <c r="G190" s="153">
        <v>0</v>
      </c>
      <c r="H190" s="136"/>
      <c r="I190" s="136"/>
      <c r="J190" s="136"/>
      <c r="K190" s="136"/>
      <c r="L190" s="139">
        <v>0</v>
      </c>
      <c r="M190" s="136"/>
      <c r="N190" s="136"/>
      <c r="O190" s="136"/>
      <c r="P190" s="153">
        <f aca="true" t="shared" si="32" ref="P190:S196">H190+L190</f>
        <v>0</v>
      </c>
      <c r="Q190" s="153">
        <f t="shared" si="32"/>
        <v>0</v>
      </c>
      <c r="R190" s="153">
        <f t="shared" si="32"/>
        <v>0</v>
      </c>
      <c r="S190" s="153">
        <f t="shared" si="32"/>
        <v>0</v>
      </c>
      <c r="T190" s="136"/>
      <c r="U190" s="136"/>
      <c r="V190" s="263"/>
    </row>
    <row r="191" spans="1:22" ht="12.75">
      <c r="A191" s="275"/>
      <c r="B191" s="23" t="s">
        <v>30</v>
      </c>
      <c r="C191" s="290"/>
      <c r="D191" s="287"/>
      <c r="E191" s="346"/>
      <c r="F191" s="354"/>
      <c r="G191" s="152">
        <v>0</v>
      </c>
      <c r="H191" s="136"/>
      <c r="I191" s="136"/>
      <c r="J191" s="136"/>
      <c r="K191" s="136"/>
      <c r="L191" s="140">
        <v>0</v>
      </c>
      <c r="M191" s="136"/>
      <c r="N191" s="136"/>
      <c r="O191" s="136"/>
      <c r="P191" s="152">
        <f t="shared" si="32"/>
        <v>0</v>
      </c>
      <c r="Q191" s="152">
        <f t="shared" si="32"/>
        <v>0</v>
      </c>
      <c r="R191" s="152">
        <f t="shared" si="32"/>
        <v>0</v>
      </c>
      <c r="S191" s="152">
        <f t="shared" si="32"/>
        <v>0</v>
      </c>
      <c r="T191" s="136"/>
      <c r="U191" s="136"/>
      <c r="V191" s="263"/>
    </row>
    <row r="192" spans="1:22" ht="12.75">
      <c r="A192" s="275"/>
      <c r="B192" s="44" t="s">
        <v>41</v>
      </c>
      <c r="C192" s="357"/>
      <c r="D192" s="346"/>
      <c r="E192" s="346"/>
      <c r="F192" s="355"/>
      <c r="G192" s="153">
        <v>0</v>
      </c>
      <c r="H192" s="140"/>
      <c r="I192" s="140"/>
      <c r="J192" s="140"/>
      <c r="K192" s="140"/>
      <c r="L192" s="139">
        <v>0</v>
      </c>
      <c r="M192" s="140"/>
      <c r="N192" s="140"/>
      <c r="O192" s="140"/>
      <c r="P192" s="153">
        <f t="shared" si="32"/>
        <v>0</v>
      </c>
      <c r="Q192" s="153">
        <f t="shared" si="32"/>
        <v>0</v>
      </c>
      <c r="R192" s="153">
        <f t="shared" si="32"/>
        <v>0</v>
      </c>
      <c r="S192" s="153">
        <f t="shared" si="32"/>
        <v>0</v>
      </c>
      <c r="T192" s="140"/>
      <c r="U192" s="140"/>
      <c r="V192" s="263"/>
    </row>
    <row r="193" spans="1:22" ht="12.75">
      <c r="A193" s="275"/>
      <c r="B193" s="41" t="s">
        <v>32</v>
      </c>
      <c r="C193" s="357"/>
      <c r="D193" s="346"/>
      <c r="E193" s="346"/>
      <c r="F193" s="355"/>
      <c r="G193" s="153">
        <v>0</v>
      </c>
      <c r="H193" s="140"/>
      <c r="I193" s="140"/>
      <c r="J193" s="140"/>
      <c r="K193" s="140"/>
      <c r="L193" s="139">
        <v>0</v>
      </c>
      <c r="M193" s="140"/>
      <c r="N193" s="140"/>
      <c r="O193" s="140"/>
      <c r="P193" s="153">
        <f t="shared" si="32"/>
        <v>0</v>
      </c>
      <c r="Q193" s="153">
        <f t="shared" si="32"/>
        <v>0</v>
      </c>
      <c r="R193" s="153">
        <f t="shared" si="32"/>
        <v>0</v>
      </c>
      <c r="S193" s="153">
        <f t="shared" si="32"/>
        <v>0</v>
      </c>
      <c r="T193" s="140"/>
      <c r="U193" s="140"/>
      <c r="V193" s="263"/>
    </row>
    <row r="194" spans="1:22" ht="12.75">
      <c r="A194" s="275"/>
      <c r="B194" s="41" t="s">
        <v>33</v>
      </c>
      <c r="C194" s="357"/>
      <c r="D194" s="346"/>
      <c r="E194" s="346"/>
      <c r="F194" s="355"/>
      <c r="G194" s="153">
        <v>0</v>
      </c>
      <c r="H194" s="140"/>
      <c r="I194" s="140"/>
      <c r="J194" s="140"/>
      <c r="K194" s="140"/>
      <c r="L194" s="139">
        <v>0</v>
      </c>
      <c r="M194" s="140"/>
      <c r="N194" s="140"/>
      <c r="O194" s="140"/>
      <c r="P194" s="153">
        <f t="shared" si="32"/>
        <v>0</v>
      </c>
      <c r="Q194" s="153">
        <f t="shared" si="32"/>
        <v>0</v>
      </c>
      <c r="R194" s="153">
        <f t="shared" si="32"/>
        <v>0</v>
      </c>
      <c r="S194" s="153">
        <f t="shared" si="32"/>
        <v>0</v>
      </c>
      <c r="T194" s="140"/>
      <c r="U194" s="140"/>
      <c r="V194" s="263"/>
    </row>
    <row r="195" spans="1:22" ht="12.75">
      <c r="A195" s="275"/>
      <c r="B195" s="23" t="s">
        <v>37</v>
      </c>
      <c r="C195" s="357"/>
      <c r="D195" s="346"/>
      <c r="E195" s="346"/>
      <c r="F195" s="355"/>
      <c r="G195" s="152">
        <v>0</v>
      </c>
      <c r="H195" s="140"/>
      <c r="I195" s="140"/>
      <c r="J195" s="140"/>
      <c r="K195" s="140"/>
      <c r="L195" s="140">
        <v>0</v>
      </c>
      <c r="M195" s="140"/>
      <c r="N195" s="140"/>
      <c r="O195" s="140"/>
      <c r="P195" s="152">
        <f t="shared" si="32"/>
        <v>0</v>
      </c>
      <c r="Q195" s="152">
        <f t="shared" si="32"/>
        <v>0</v>
      </c>
      <c r="R195" s="152">
        <f t="shared" si="32"/>
        <v>0</v>
      </c>
      <c r="S195" s="152">
        <f t="shared" si="32"/>
        <v>0</v>
      </c>
      <c r="T195" s="140"/>
      <c r="U195" s="140"/>
      <c r="V195" s="263"/>
    </row>
    <row r="196" spans="1:22" ht="12.75">
      <c r="A196" s="276"/>
      <c r="B196" s="23" t="s">
        <v>38</v>
      </c>
      <c r="C196" s="358"/>
      <c r="D196" s="345"/>
      <c r="E196" s="345"/>
      <c r="F196" s="356"/>
      <c r="G196" s="152">
        <v>0</v>
      </c>
      <c r="H196" s="140"/>
      <c r="I196" s="140"/>
      <c r="J196" s="140"/>
      <c r="K196" s="140"/>
      <c r="L196" s="140">
        <v>0</v>
      </c>
      <c r="M196" s="140"/>
      <c r="N196" s="140"/>
      <c r="O196" s="140"/>
      <c r="P196" s="152">
        <f t="shared" si="32"/>
        <v>0</v>
      </c>
      <c r="Q196" s="152">
        <f t="shared" si="32"/>
        <v>0</v>
      </c>
      <c r="R196" s="152">
        <f t="shared" si="32"/>
        <v>0</v>
      </c>
      <c r="S196" s="152">
        <f t="shared" si="32"/>
        <v>0</v>
      </c>
      <c r="T196" s="140"/>
      <c r="U196" s="140"/>
      <c r="V196" s="264"/>
    </row>
    <row r="197" spans="1:22" ht="12.75">
      <c r="A197" s="274" t="s">
        <v>89</v>
      </c>
      <c r="B197" s="16" t="s">
        <v>59</v>
      </c>
      <c r="C197" s="289" t="s">
        <v>43</v>
      </c>
      <c r="D197" s="286" t="s">
        <v>2</v>
      </c>
      <c r="E197" s="258">
        <v>30</v>
      </c>
      <c r="F197" s="353" t="s">
        <v>17</v>
      </c>
      <c r="G197" s="140">
        <f>SUM(G198:G202)</f>
        <v>10815</v>
      </c>
      <c r="H197" s="140">
        <f>SUM(H198:H202)</f>
        <v>0</v>
      </c>
      <c r="I197" s="26"/>
      <c r="J197" s="26"/>
      <c r="K197" s="26"/>
      <c r="L197" s="152">
        <f>SUM(L198:L202)</f>
        <v>0</v>
      </c>
      <c r="M197" s="26">
        <v>0</v>
      </c>
      <c r="N197" s="26">
        <v>0</v>
      </c>
      <c r="O197" s="26">
        <v>0</v>
      </c>
      <c r="P197" s="25">
        <f>H197+L197</f>
        <v>0</v>
      </c>
      <c r="Q197" s="25">
        <f>I197+M197</f>
        <v>0</v>
      </c>
      <c r="R197" s="25">
        <f>J197+N197</f>
        <v>0</v>
      </c>
      <c r="S197" s="25">
        <f>K197+O197</f>
        <v>0</v>
      </c>
      <c r="T197" s="26"/>
      <c r="U197" s="26"/>
      <c r="V197" s="262"/>
    </row>
    <row r="198" spans="1:22" ht="12.75">
      <c r="A198" s="275"/>
      <c r="B198" s="22" t="s">
        <v>127</v>
      </c>
      <c r="C198" s="290"/>
      <c r="D198" s="287"/>
      <c r="E198" s="346"/>
      <c r="F198" s="354"/>
      <c r="G198" s="256">
        <v>10815</v>
      </c>
      <c r="H198" s="256"/>
      <c r="I198" s="134"/>
      <c r="J198" s="134"/>
      <c r="K198" s="134"/>
      <c r="L198" s="256"/>
      <c r="M198" s="134"/>
      <c r="N198" s="134"/>
      <c r="O198" s="134"/>
      <c r="P198" s="256">
        <f aca="true" t="shared" si="33" ref="P198:S199">H198+L198</f>
        <v>0</v>
      </c>
      <c r="Q198" s="256">
        <f t="shared" si="33"/>
        <v>0</v>
      </c>
      <c r="R198" s="256">
        <f t="shared" si="33"/>
        <v>0</v>
      </c>
      <c r="S198" s="256">
        <f t="shared" si="33"/>
        <v>0</v>
      </c>
      <c r="T198" s="256"/>
      <c r="U198" s="256">
        <v>10815</v>
      </c>
      <c r="V198" s="263"/>
    </row>
    <row r="199" spans="1:22" ht="12.75">
      <c r="A199" s="275"/>
      <c r="B199" s="40" t="s">
        <v>27</v>
      </c>
      <c r="C199" s="290"/>
      <c r="D199" s="287"/>
      <c r="E199" s="346"/>
      <c r="F199" s="354"/>
      <c r="G199" s="273"/>
      <c r="H199" s="273"/>
      <c r="I199" s="136"/>
      <c r="J199" s="136"/>
      <c r="K199" s="136"/>
      <c r="L199" s="273"/>
      <c r="M199" s="136"/>
      <c r="N199" s="136"/>
      <c r="O199" s="136"/>
      <c r="P199" s="273">
        <f t="shared" si="33"/>
        <v>0</v>
      </c>
      <c r="Q199" s="273">
        <f t="shared" si="33"/>
        <v>0</v>
      </c>
      <c r="R199" s="273">
        <f t="shared" si="33"/>
        <v>0</v>
      </c>
      <c r="S199" s="273">
        <f t="shared" si="33"/>
        <v>0</v>
      </c>
      <c r="T199" s="273"/>
      <c r="U199" s="273"/>
      <c r="V199" s="263"/>
    </row>
    <row r="200" spans="1:22" ht="12.75">
      <c r="A200" s="275"/>
      <c r="B200" s="23" t="s">
        <v>29</v>
      </c>
      <c r="C200" s="290"/>
      <c r="D200" s="287"/>
      <c r="E200" s="346"/>
      <c r="F200" s="354"/>
      <c r="G200" s="140">
        <v>0</v>
      </c>
      <c r="H200" s="139"/>
      <c r="I200" s="139"/>
      <c r="J200" s="139"/>
      <c r="K200" s="139"/>
      <c r="L200" s="140">
        <v>0</v>
      </c>
      <c r="M200" s="139"/>
      <c r="N200" s="139"/>
      <c r="O200" s="139"/>
      <c r="P200" s="152">
        <f>H200+L200</f>
        <v>0</v>
      </c>
      <c r="Q200" s="152">
        <f>I200+M200</f>
        <v>0</v>
      </c>
      <c r="R200" s="152">
        <f>J200+N200</f>
        <v>0</v>
      </c>
      <c r="S200" s="152">
        <f>K200+O200</f>
        <v>0</v>
      </c>
      <c r="T200" s="140"/>
      <c r="U200" s="140"/>
      <c r="V200" s="263"/>
    </row>
    <row r="201" spans="1:22" ht="12.75">
      <c r="A201" s="275"/>
      <c r="B201" s="44" t="s">
        <v>39</v>
      </c>
      <c r="C201" s="290"/>
      <c r="D201" s="287"/>
      <c r="E201" s="346"/>
      <c r="F201" s="354"/>
      <c r="G201" s="139">
        <v>0</v>
      </c>
      <c r="H201" s="139"/>
      <c r="I201" s="139"/>
      <c r="J201" s="139"/>
      <c r="K201" s="139"/>
      <c r="L201" s="139">
        <v>0</v>
      </c>
      <c r="M201" s="139"/>
      <c r="N201" s="139"/>
      <c r="O201" s="139"/>
      <c r="P201" s="153">
        <f aca="true" t="shared" si="34" ref="P201:S207">H201+L201</f>
        <v>0</v>
      </c>
      <c r="Q201" s="153">
        <f t="shared" si="34"/>
        <v>0</v>
      </c>
      <c r="R201" s="153">
        <f t="shared" si="34"/>
        <v>0</v>
      </c>
      <c r="S201" s="153">
        <f t="shared" si="34"/>
        <v>0</v>
      </c>
      <c r="T201" s="140"/>
      <c r="U201" s="140"/>
      <c r="V201" s="263"/>
    </row>
    <row r="202" spans="1:22" ht="12.75">
      <c r="A202" s="275"/>
      <c r="B202" s="23" t="s">
        <v>30</v>
      </c>
      <c r="C202" s="290"/>
      <c r="D202" s="287"/>
      <c r="E202" s="346"/>
      <c r="F202" s="354"/>
      <c r="G202" s="140">
        <v>0</v>
      </c>
      <c r="H202" s="139"/>
      <c r="I202" s="139"/>
      <c r="J202" s="139"/>
      <c r="K202" s="139"/>
      <c r="L202" s="140">
        <v>0</v>
      </c>
      <c r="M202" s="139"/>
      <c r="N202" s="139"/>
      <c r="O202" s="139"/>
      <c r="P202" s="152">
        <f t="shared" si="34"/>
        <v>0</v>
      </c>
      <c r="Q202" s="152">
        <f t="shared" si="34"/>
        <v>0</v>
      </c>
      <c r="R202" s="152">
        <f t="shared" si="34"/>
        <v>0</v>
      </c>
      <c r="S202" s="152">
        <f t="shared" si="34"/>
        <v>0</v>
      </c>
      <c r="T202" s="140"/>
      <c r="U202" s="140"/>
      <c r="V202" s="263"/>
    </row>
    <row r="203" spans="1:22" ht="12.75">
      <c r="A203" s="275"/>
      <c r="B203" s="44" t="s">
        <v>41</v>
      </c>
      <c r="C203" s="357"/>
      <c r="D203" s="346"/>
      <c r="E203" s="346"/>
      <c r="F203" s="355"/>
      <c r="G203" s="139">
        <v>0</v>
      </c>
      <c r="H203" s="139"/>
      <c r="I203" s="139"/>
      <c r="J203" s="139"/>
      <c r="K203" s="139"/>
      <c r="L203" s="139">
        <v>0</v>
      </c>
      <c r="M203" s="139"/>
      <c r="N203" s="139"/>
      <c r="O203" s="139"/>
      <c r="P203" s="153">
        <f t="shared" si="34"/>
        <v>0</v>
      </c>
      <c r="Q203" s="153">
        <f t="shared" si="34"/>
        <v>0</v>
      </c>
      <c r="R203" s="153">
        <f t="shared" si="34"/>
        <v>0</v>
      </c>
      <c r="S203" s="153">
        <f t="shared" si="34"/>
        <v>0</v>
      </c>
      <c r="T203" s="140"/>
      <c r="U203" s="140"/>
      <c r="V203" s="263"/>
    </row>
    <row r="204" spans="1:22" ht="12.75">
      <c r="A204" s="275"/>
      <c r="B204" s="41" t="s">
        <v>32</v>
      </c>
      <c r="C204" s="357"/>
      <c r="D204" s="346"/>
      <c r="E204" s="346"/>
      <c r="F204" s="355"/>
      <c r="G204" s="139">
        <v>0</v>
      </c>
      <c r="H204" s="139"/>
      <c r="I204" s="139"/>
      <c r="J204" s="139"/>
      <c r="K204" s="139"/>
      <c r="L204" s="139">
        <v>0</v>
      </c>
      <c r="M204" s="139"/>
      <c r="N204" s="139"/>
      <c r="O204" s="139"/>
      <c r="P204" s="153">
        <f t="shared" si="34"/>
        <v>0</v>
      </c>
      <c r="Q204" s="153">
        <f t="shared" si="34"/>
        <v>0</v>
      </c>
      <c r="R204" s="153">
        <f t="shared" si="34"/>
        <v>0</v>
      </c>
      <c r="S204" s="153">
        <f t="shared" si="34"/>
        <v>0</v>
      </c>
      <c r="T204" s="140"/>
      <c r="U204" s="140"/>
      <c r="V204" s="263"/>
    </row>
    <row r="205" spans="1:22" ht="12.75">
      <c r="A205" s="275"/>
      <c r="B205" s="41" t="s">
        <v>33</v>
      </c>
      <c r="C205" s="357"/>
      <c r="D205" s="346"/>
      <c r="E205" s="346"/>
      <c r="F205" s="355"/>
      <c r="G205" s="139">
        <v>0</v>
      </c>
      <c r="H205" s="139"/>
      <c r="I205" s="139"/>
      <c r="J205" s="139"/>
      <c r="K205" s="139"/>
      <c r="L205" s="139">
        <v>0</v>
      </c>
      <c r="M205" s="139"/>
      <c r="N205" s="139"/>
      <c r="O205" s="139"/>
      <c r="P205" s="153">
        <f t="shared" si="34"/>
        <v>0</v>
      </c>
      <c r="Q205" s="153">
        <f t="shared" si="34"/>
        <v>0</v>
      </c>
      <c r="R205" s="153">
        <f t="shared" si="34"/>
        <v>0</v>
      </c>
      <c r="S205" s="153">
        <f t="shared" si="34"/>
        <v>0</v>
      </c>
      <c r="T205" s="140"/>
      <c r="U205" s="140"/>
      <c r="V205" s="263"/>
    </row>
    <row r="206" spans="1:22" ht="12.75">
      <c r="A206" s="275"/>
      <c r="B206" s="23" t="s">
        <v>37</v>
      </c>
      <c r="C206" s="357"/>
      <c r="D206" s="346"/>
      <c r="E206" s="346"/>
      <c r="F206" s="355"/>
      <c r="G206" s="140">
        <v>0</v>
      </c>
      <c r="H206" s="139"/>
      <c r="I206" s="139"/>
      <c r="J206" s="139"/>
      <c r="K206" s="139"/>
      <c r="L206" s="140">
        <v>0</v>
      </c>
      <c r="M206" s="139"/>
      <c r="N206" s="139"/>
      <c r="O206" s="139"/>
      <c r="P206" s="152">
        <f t="shared" si="34"/>
        <v>0</v>
      </c>
      <c r="Q206" s="152">
        <f t="shared" si="34"/>
        <v>0</v>
      </c>
      <c r="R206" s="152">
        <f t="shared" si="34"/>
        <v>0</v>
      </c>
      <c r="S206" s="152">
        <f t="shared" si="34"/>
        <v>0</v>
      </c>
      <c r="T206" s="140"/>
      <c r="U206" s="140"/>
      <c r="V206" s="263"/>
    </row>
    <row r="207" spans="1:22" ht="12.75">
      <c r="A207" s="275"/>
      <c r="B207" s="23" t="s">
        <v>38</v>
      </c>
      <c r="C207" s="358"/>
      <c r="D207" s="345"/>
      <c r="E207" s="345"/>
      <c r="F207" s="356"/>
      <c r="G207" s="140">
        <v>0</v>
      </c>
      <c r="H207" s="139"/>
      <c r="I207" s="139"/>
      <c r="J207" s="139"/>
      <c r="K207" s="139"/>
      <c r="L207" s="140">
        <v>0</v>
      </c>
      <c r="M207" s="139"/>
      <c r="N207" s="139"/>
      <c r="O207" s="139"/>
      <c r="P207" s="152">
        <f t="shared" si="34"/>
        <v>0</v>
      </c>
      <c r="Q207" s="152">
        <f t="shared" si="34"/>
        <v>0</v>
      </c>
      <c r="R207" s="152">
        <f t="shared" si="34"/>
        <v>0</v>
      </c>
      <c r="S207" s="152">
        <f t="shared" si="34"/>
        <v>0</v>
      </c>
      <c r="T207" s="140"/>
      <c r="U207" s="140"/>
      <c r="V207" s="264"/>
    </row>
    <row r="208" spans="1:22" ht="12.75" customHeight="1" hidden="1">
      <c r="A208" s="274"/>
      <c r="B208" s="53"/>
      <c r="C208" s="289" t="s">
        <v>43</v>
      </c>
      <c r="D208" s="286" t="s">
        <v>124</v>
      </c>
      <c r="E208" s="258"/>
      <c r="F208" s="283"/>
      <c r="G208" s="25">
        <f>G209+G211+G213+G217+G218</f>
        <v>0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88"/>
    </row>
    <row r="209" spans="1:22" ht="12.75" customHeight="1" hidden="1">
      <c r="A209" s="275"/>
      <c r="B209" s="22" t="s">
        <v>127</v>
      </c>
      <c r="C209" s="290"/>
      <c r="D209" s="336"/>
      <c r="E209" s="326"/>
      <c r="F209" s="284"/>
      <c r="G209" s="256">
        <f>SUM(H209:U209)</f>
        <v>0</v>
      </c>
      <c r="H209" s="256"/>
      <c r="I209" s="134"/>
      <c r="J209" s="134"/>
      <c r="K209" s="134"/>
      <c r="L209" s="134"/>
      <c r="M209" s="134"/>
      <c r="N209" s="134"/>
      <c r="O209" s="134"/>
      <c r="P209" s="134"/>
      <c r="Q209" s="143"/>
      <c r="R209" s="143"/>
      <c r="S209" s="143"/>
      <c r="T209" s="256"/>
      <c r="U209" s="256"/>
      <c r="V209" s="287"/>
    </row>
    <row r="210" spans="1:22" ht="12.75" customHeight="1" hidden="1">
      <c r="A210" s="275"/>
      <c r="B210" s="40" t="s">
        <v>27</v>
      </c>
      <c r="C210" s="290"/>
      <c r="D210" s="336"/>
      <c r="E210" s="326"/>
      <c r="F210" s="284"/>
      <c r="G210" s="273"/>
      <c r="H210" s="273"/>
      <c r="I210" s="136"/>
      <c r="J210" s="136"/>
      <c r="K210" s="136"/>
      <c r="L210" s="136"/>
      <c r="M210" s="136"/>
      <c r="N210" s="136"/>
      <c r="O210" s="136"/>
      <c r="P210" s="136"/>
      <c r="Q210" s="144"/>
      <c r="R210" s="144"/>
      <c r="S210" s="144"/>
      <c r="T210" s="273"/>
      <c r="U210" s="273"/>
      <c r="V210" s="287"/>
    </row>
    <row r="211" spans="1:22" ht="12.75" customHeight="1" hidden="1">
      <c r="A211" s="275"/>
      <c r="B211" s="23" t="s">
        <v>29</v>
      </c>
      <c r="C211" s="290"/>
      <c r="D211" s="336"/>
      <c r="E211" s="326"/>
      <c r="F211" s="284"/>
      <c r="G211" s="140">
        <f>SUM(G212)</f>
        <v>0</v>
      </c>
      <c r="H211" s="136"/>
      <c r="I211" s="136"/>
      <c r="J211" s="136"/>
      <c r="K211" s="136"/>
      <c r="L211" s="136"/>
      <c r="M211" s="136"/>
      <c r="N211" s="136"/>
      <c r="O211" s="136"/>
      <c r="P211" s="136"/>
      <c r="Q211" s="144"/>
      <c r="R211" s="144"/>
      <c r="S211" s="144"/>
      <c r="T211" s="136"/>
      <c r="U211" s="136"/>
      <c r="V211" s="287"/>
    </row>
    <row r="212" spans="1:22" ht="12.75" customHeight="1" hidden="1">
      <c r="A212" s="275"/>
      <c r="B212" s="44" t="s">
        <v>39</v>
      </c>
      <c r="C212" s="290"/>
      <c r="D212" s="336"/>
      <c r="E212" s="326"/>
      <c r="F212" s="284"/>
      <c r="G212" s="139">
        <f>SUM(H212:U212)</f>
        <v>0</v>
      </c>
      <c r="H212" s="136"/>
      <c r="I212" s="136"/>
      <c r="J212" s="136"/>
      <c r="K212" s="136"/>
      <c r="L212" s="136"/>
      <c r="M212" s="136"/>
      <c r="N212" s="136"/>
      <c r="O212" s="136"/>
      <c r="P212" s="136"/>
      <c r="Q212" s="144"/>
      <c r="R212" s="144"/>
      <c r="S212" s="144"/>
      <c r="T212" s="136"/>
      <c r="U212" s="136"/>
      <c r="V212" s="287"/>
    </row>
    <row r="213" spans="1:22" ht="12.75" customHeight="1" hidden="1">
      <c r="A213" s="275"/>
      <c r="B213" s="23" t="s">
        <v>30</v>
      </c>
      <c r="C213" s="290"/>
      <c r="D213" s="336"/>
      <c r="E213" s="326"/>
      <c r="F213" s="284"/>
      <c r="G213" s="140">
        <f>SUM(G214:G216)</f>
        <v>0</v>
      </c>
      <c r="H213" s="136"/>
      <c r="I213" s="136"/>
      <c r="J213" s="136"/>
      <c r="K213" s="136"/>
      <c r="L213" s="136"/>
      <c r="M213" s="136"/>
      <c r="N213" s="136"/>
      <c r="O213" s="136"/>
      <c r="P213" s="136"/>
      <c r="Q213" s="144"/>
      <c r="R213" s="144"/>
      <c r="S213" s="144"/>
      <c r="T213" s="136"/>
      <c r="U213" s="136"/>
      <c r="V213" s="287"/>
    </row>
    <row r="214" spans="1:22" ht="12.75" customHeight="1" hidden="1">
      <c r="A214" s="275"/>
      <c r="B214" s="44" t="s">
        <v>41</v>
      </c>
      <c r="C214" s="290"/>
      <c r="D214" s="336"/>
      <c r="E214" s="326"/>
      <c r="F214" s="284"/>
      <c r="G214" s="139">
        <f>SUM(H214:U214)</f>
        <v>0</v>
      </c>
      <c r="H214" s="140"/>
      <c r="I214" s="140"/>
      <c r="J214" s="140"/>
      <c r="K214" s="140"/>
      <c r="L214" s="140"/>
      <c r="M214" s="140"/>
      <c r="N214" s="140"/>
      <c r="O214" s="140"/>
      <c r="P214" s="140"/>
      <c r="Q214" s="152"/>
      <c r="R214" s="152"/>
      <c r="S214" s="152"/>
      <c r="T214" s="140"/>
      <c r="U214" s="140"/>
      <c r="V214" s="287"/>
    </row>
    <row r="215" spans="1:22" ht="12.75" customHeight="1" hidden="1">
      <c r="A215" s="275"/>
      <c r="B215" s="41" t="s">
        <v>32</v>
      </c>
      <c r="C215" s="290"/>
      <c r="D215" s="336"/>
      <c r="E215" s="326"/>
      <c r="F215" s="284"/>
      <c r="G215" s="139">
        <f>SUM(H215:U215)</f>
        <v>0</v>
      </c>
      <c r="H215" s="140"/>
      <c r="I215" s="140"/>
      <c r="J215" s="140"/>
      <c r="K215" s="140"/>
      <c r="L215" s="140"/>
      <c r="M215" s="140"/>
      <c r="N215" s="140"/>
      <c r="O215" s="140"/>
      <c r="P215" s="140"/>
      <c r="Q215" s="152"/>
      <c r="R215" s="152"/>
      <c r="S215" s="152"/>
      <c r="T215" s="140"/>
      <c r="U215" s="140"/>
      <c r="V215" s="287"/>
    </row>
    <row r="216" spans="1:22" ht="12.75" customHeight="1" hidden="1">
      <c r="A216" s="275"/>
      <c r="B216" s="41" t="s">
        <v>33</v>
      </c>
      <c r="C216" s="290"/>
      <c r="D216" s="336"/>
      <c r="E216" s="326"/>
      <c r="F216" s="284"/>
      <c r="G216" s="139">
        <f>SUM(H216:U216)</f>
        <v>0</v>
      </c>
      <c r="H216" s="140"/>
      <c r="I216" s="140"/>
      <c r="J216" s="140"/>
      <c r="K216" s="140"/>
      <c r="L216" s="140"/>
      <c r="M216" s="140"/>
      <c r="N216" s="140"/>
      <c r="O216" s="140"/>
      <c r="P216" s="140"/>
      <c r="Q216" s="152"/>
      <c r="R216" s="152"/>
      <c r="S216" s="152"/>
      <c r="T216" s="140"/>
      <c r="U216" s="140"/>
      <c r="V216" s="287"/>
    </row>
    <row r="217" spans="1:22" ht="12.75" customHeight="1" hidden="1">
      <c r="A217" s="275"/>
      <c r="B217" s="23" t="s">
        <v>37</v>
      </c>
      <c r="C217" s="290"/>
      <c r="D217" s="336"/>
      <c r="E217" s="326"/>
      <c r="F217" s="284"/>
      <c r="G217" s="140">
        <f>SUM(H217:U217)</f>
        <v>0</v>
      </c>
      <c r="H217" s="140"/>
      <c r="I217" s="140"/>
      <c r="J217" s="140"/>
      <c r="K217" s="140"/>
      <c r="L217" s="140"/>
      <c r="M217" s="140"/>
      <c r="N217" s="140"/>
      <c r="O217" s="140"/>
      <c r="P217" s="140"/>
      <c r="Q217" s="152"/>
      <c r="R217" s="152"/>
      <c r="S217" s="152"/>
      <c r="T217" s="140"/>
      <c r="U217" s="140"/>
      <c r="V217" s="287"/>
    </row>
    <row r="218" spans="1:22" ht="12.75" customHeight="1" hidden="1">
      <c r="A218" s="275"/>
      <c r="B218" s="23" t="s">
        <v>38</v>
      </c>
      <c r="C218" s="313"/>
      <c r="D218" s="337"/>
      <c r="E218" s="327"/>
      <c r="F218" s="325"/>
      <c r="G218" s="140">
        <f>SUM(H218:U218)</f>
        <v>0</v>
      </c>
      <c r="H218" s="140"/>
      <c r="I218" s="140"/>
      <c r="J218" s="140"/>
      <c r="K218" s="140"/>
      <c r="L218" s="140"/>
      <c r="M218" s="140"/>
      <c r="N218" s="140"/>
      <c r="O218" s="140"/>
      <c r="P218" s="140"/>
      <c r="Q218" s="152"/>
      <c r="R218" s="152"/>
      <c r="S218" s="152"/>
      <c r="T218" s="140"/>
      <c r="U218" s="140"/>
      <c r="V218" s="302"/>
    </row>
    <row r="219" spans="1:22" ht="12.75" customHeight="1" hidden="1">
      <c r="A219" s="274" t="s">
        <v>74</v>
      </c>
      <c r="B219" s="36"/>
      <c r="C219" s="289" t="s">
        <v>43</v>
      </c>
      <c r="D219" s="286" t="s">
        <v>124</v>
      </c>
      <c r="E219" s="258"/>
      <c r="F219" s="283"/>
      <c r="G219" s="25">
        <f>G220+G222+G224+G228+G229</f>
        <v>0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88"/>
    </row>
    <row r="220" spans="1:22" ht="12.75" customHeight="1" hidden="1">
      <c r="A220" s="275"/>
      <c r="B220" s="22" t="s">
        <v>127</v>
      </c>
      <c r="C220" s="290"/>
      <c r="D220" s="336"/>
      <c r="E220" s="326"/>
      <c r="F220" s="284"/>
      <c r="G220" s="256">
        <f>SUM(H220:U220)</f>
        <v>0</v>
      </c>
      <c r="H220" s="256"/>
      <c r="I220" s="134"/>
      <c r="J220" s="134"/>
      <c r="K220" s="134"/>
      <c r="L220" s="134"/>
      <c r="M220" s="134"/>
      <c r="N220" s="134"/>
      <c r="O220" s="134"/>
      <c r="P220" s="134"/>
      <c r="Q220" s="143"/>
      <c r="R220" s="143"/>
      <c r="S220" s="143"/>
      <c r="T220" s="256"/>
      <c r="U220" s="256"/>
      <c r="V220" s="287"/>
    </row>
    <row r="221" spans="1:22" ht="12.75" customHeight="1" hidden="1">
      <c r="A221" s="275"/>
      <c r="B221" s="40" t="s">
        <v>27</v>
      </c>
      <c r="C221" s="290"/>
      <c r="D221" s="336"/>
      <c r="E221" s="326"/>
      <c r="F221" s="284"/>
      <c r="G221" s="273"/>
      <c r="H221" s="273"/>
      <c r="I221" s="136"/>
      <c r="J221" s="136"/>
      <c r="K221" s="136"/>
      <c r="L221" s="136"/>
      <c r="M221" s="136"/>
      <c r="N221" s="136"/>
      <c r="O221" s="136"/>
      <c r="P221" s="136"/>
      <c r="Q221" s="144"/>
      <c r="R221" s="144"/>
      <c r="S221" s="144"/>
      <c r="T221" s="273"/>
      <c r="U221" s="273"/>
      <c r="V221" s="287"/>
    </row>
    <row r="222" spans="1:22" ht="12.75" customHeight="1" hidden="1">
      <c r="A222" s="275"/>
      <c r="B222" s="23" t="s">
        <v>29</v>
      </c>
      <c r="C222" s="290"/>
      <c r="D222" s="336"/>
      <c r="E222" s="326"/>
      <c r="F222" s="284"/>
      <c r="G222" s="140">
        <f>SUM(G223)</f>
        <v>0</v>
      </c>
      <c r="H222" s="136"/>
      <c r="I222" s="136"/>
      <c r="J222" s="136"/>
      <c r="K222" s="136"/>
      <c r="L222" s="136"/>
      <c r="M222" s="136"/>
      <c r="N222" s="136"/>
      <c r="O222" s="136"/>
      <c r="P222" s="136"/>
      <c r="Q222" s="144"/>
      <c r="R222" s="144"/>
      <c r="S222" s="144"/>
      <c r="T222" s="136"/>
      <c r="U222" s="136"/>
      <c r="V222" s="287"/>
    </row>
    <row r="223" spans="1:22" ht="12.75" customHeight="1" hidden="1">
      <c r="A223" s="275"/>
      <c r="B223" s="44" t="s">
        <v>39</v>
      </c>
      <c r="C223" s="290"/>
      <c r="D223" s="336"/>
      <c r="E223" s="326"/>
      <c r="F223" s="284"/>
      <c r="G223" s="139">
        <f>SUM(H223:U223)</f>
        <v>0</v>
      </c>
      <c r="H223" s="136"/>
      <c r="I223" s="136"/>
      <c r="J223" s="136"/>
      <c r="K223" s="136"/>
      <c r="L223" s="136"/>
      <c r="M223" s="136"/>
      <c r="N223" s="136"/>
      <c r="O223" s="136"/>
      <c r="P223" s="136"/>
      <c r="Q223" s="144"/>
      <c r="R223" s="144"/>
      <c r="S223" s="144"/>
      <c r="T223" s="136"/>
      <c r="U223" s="136"/>
      <c r="V223" s="287"/>
    </row>
    <row r="224" spans="1:22" ht="12.75" customHeight="1" hidden="1">
      <c r="A224" s="275"/>
      <c r="B224" s="23" t="s">
        <v>30</v>
      </c>
      <c r="C224" s="290"/>
      <c r="D224" s="336"/>
      <c r="E224" s="326"/>
      <c r="F224" s="284"/>
      <c r="G224" s="140">
        <f>SUM(G225:G227)</f>
        <v>0</v>
      </c>
      <c r="H224" s="136"/>
      <c r="I224" s="136"/>
      <c r="J224" s="136"/>
      <c r="K224" s="136"/>
      <c r="L224" s="136"/>
      <c r="M224" s="136"/>
      <c r="N224" s="136"/>
      <c r="O224" s="136"/>
      <c r="P224" s="136"/>
      <c r="Q224" s="144"/>
      <c r="R224" s="144"/>
      <c r="S224" s="144"/>
      <c r="T224" s="136"/>
      <c r="U224" s="136"/>
      <c r="V224" s="287"/>
    </row>
    <row r="225" spans="1:22" ht="12.75" customHeight="1" hidden="1">
      <c r="A225" s="275"/>
      <c r="B225" s="44" t="s">
        <v>41</v>
      </c>
      <c r="C225" s="290"/>
      <c r="D225" s="336"/>
      <c r="E225" s="326"/>
      <c r="F225" s="284"/>
      <c r="G225" s="139">
        <f>SUM(H225:U225)</f>
        <v>0</v>
      </c>
      <c r="H225" s="140"/>
      <c r="I225" s="140"/>
      <c r="J225" s="140"/>
      <c r="K225" s="140"/>
      <c r="L225" s="140"/>
      <c r="M225" s="140"/>
      <c r="N225" s="140"/>
      <c r="O225" s="140"/>
      <c r="P225" s="140"/>
      <c r="Q225" s="152"/>
      <c r="R225" s="152"/>
      <c r="S225" s="152"/>
      <c r="T225" s="140"/>
      <c r="U225" s="140"/>
      <c r="V225" s="287"/>
    </row>
    <row r="226" spans="1:22" ht="12.75" customHeight="1" hidden="1">
      <c r="A226" s="275"/>
      <c r="B226" s="41" t="s">
        <v>32</v>
      </c>
      <c r="C226" s="290"/>
      <c r="D226" s="336"/>
      <c r="E226" s="326"/>
      <c r="F226" s="284"/>
      <c r="G226" s="139">
        <f>SUM(H226:U226)</f>
        <v>0</v>
      </c>
      <c r="H226" s="140"/>
      <c r="I226" s="140"/>
      <c r="J226" s="140"/>
      <c r="K226" s="140"/>
      <c r="L226" s="140"/>
      <c r="M226" s="140"/>
      <c r="N226" s="140"/>
      <c r="O226" s="140"/>
      <c r="P226" s="140"/>
      <c r="Q226" s="152"/>
      <c r="R226" s="152"/>
      <c r="S226" s="152"/>
      <c r="T226" s="140"/>
      <c r="U226" s="140"/>
      <c r="V226" s="287"/>
    </row>
    <row r="227" spans="1:22" ht="12.75" customHeight="1" hidden="1">
      <c r="A227" s="275"/>
      <c r="B227" s="41" t="s">
        <v>33</v>
      </c>
      <c r="C227" s="290"/>
      <c r="D227" s="336"/>
      <c r="E227" s="326"/>
      <c r="F227" s="284"/>
      <c r="G227" s="139">
        <f>SUM(H227:U227)</f>
        <v>0</v>
      </c>
      <c r="H227" s="140"/>
      <c r="I227" s="140"/>
      <c r="J227" s="140"/>
      <c r="K227" s="140"/>
      <c r="L227" s="140"/>
      <c r="M227" s="140"/>
      <c r="N227" s="140"/>
      <c r="O227" s="140"/>
      <c r="P227" s="140"/>
      <c r="Q227" s="152"/>
      <c r="R227" s="152"/>
      <c r="S227" s="152"/>
      <c r="T227" s="140"/>
      <c r="U227" s="140"/>
      <c r="V227" s="287"/>
    </row>
    <row r="228" spans="1:22" ht="12.75" customHeight="1" hidden="1">
      <c r="A228" s="275"/>
      <c r="B228" s="23" t="s">
        <v>37</v>
      </c>
      <c r="C228" s="290"/>
      <c r="D228" s="336"/>
      <c r="E228" s="326"/>
      <c r="F228" s="284"/>
      <c r="G228" s="140">
        <f>SUM(H228:U228)</f>
        <v>0</v>
      </c>
      <c r="H228" s="140"/>
      <c r="I228" s="140"/>
      <c r="J228" s="140"/>
      <c r="K228" s="140"/>
      <c r="L228" s="140"/>
      <c r="M228" s="140"/>
      <c r="N228" s="140"/>
      <c r="O228" s="140"/>
      <c r="P228" s="140"/>
      <c r="Q228" s="152"/>
      <c r="R228" s="152"/>
      <c r="S228" s="152"/>
      <c r="T228" s="140"/>
      <c r="U228" s="140"/>
      <c r="V228" s="287"/>
    </row>
    <row r="229" spans="1:22" ht="12.75" customHeight="1" hidden="1">
      <c r="A229" s="275"/>
      <c r="B229" s="23" t="s">
        <v>38</v>
      </c>
      <c r="C229" s="313"/>
      <c r="D229" s="337"/>
      <c r="E229" s="327"/>
      <c r="F229" s="325"/>
      <c r="G229" s="140">
        <f>SUM(H229:U229)</f>
        <v>0</v>
      </c>
      <c r="H229" s="140"/>
      <c r="I229" s="140"/>
      <c r="J229" s="140"/>
      <c r="K229" s="140"/>
      <c r="L229" s="140"/>
      <c r="M229" s="140"/>
      <c r="N229" s="140"/>
      <c r="O229" s="140"/>
      <c r="P229" s="140"/>
      <c r="Q229" s="152"/>
      <c r="R229" s="152"/>
      <c r="S229" s="152"/>
      <c r="T229" s="140"/>
      <c r="U229" s="140"/>
      <c r="V229" s="302"/>
    </row>
    <row r="230" spans="1:22" ht="25.5">
      <c r="A230" s="274" t="s">
        <v>90</v>
      </c>
      <c r="B230" s="16" t="s">
        <v>45</v>
      </c>
      <c r="C230" s="289" t="s">
        <v>43</v>
      </c>
      <c r="D230" s="286" t="s">
        <v>3</v>
      </c>
      <c r="E230" s="258">
        <v>92</v>
      </c>
      <c r="F230" s="283" t="s">
        <v>17</v>
      </c>
      <c r="G230" s="25">
        <f>G231+G233+G235+G239+G240</f>
        <v>17984.4</v>
      </c>
      <c r="H230" s="25">
        <f>H231+H233+H235+H239+H240</f>
        <v>0</v>
      </c>
      <c r="I230" s="26"/>
      <c r="J230" s="26"/>
      <c r="K230" s="26"/>
      <c r="L230" s="25">
        <f>L231+L233+L235+L239+L240</f>
        <v>17984.4</v>
      </c>
      <c r="M230" s="26">
        <v>0</v>
      </c>
      <c r="N230" s="26">
        <v>0</v>
      </c>
      <c r="O230" s="26">
        <v>0</v>
      </c>
      <c r="P230" s="25">
        <f>H230+L230</f>
        <v>17984.4</v>
      </c>
      <c r="Q230" s="25">
        <f>I230+M230</f>
        <v>0</v>
      </c>
      <c r="R230" s="25">
        <f>J230+N230</f>
        <v>0</v>
      </c>
      <c r="S230" s="25">
        <f>K230+O230</f>
        <v>0</v>
      </c>
      <c r="T230" s="26"/>
      <c r="U230" s="26"/>
      <c r="V230" s="288"/>
    </row>
    <row r="231" spans="1:22" ht="12.75">
      <c r="A231" s="275"/>
      <c r="B231" s="22" t="s">
        <v>127</v>
      </c>
      <c r="C231" s="290"/>
      <c r="D231" s="287"/>
      <c r="E231" s="346"/>
      <c r="F231" s="284"/>
      <c r="G231" s="256">
        <v>17984.4</v>
      </c>
      <c r="H231" s="256"/>
      <c r="I231" s="134"/>
      <c r="J231" s="134"/>
      <c r="K231" s="134"/>
      <c r="L231" s="256">
        <v>17984.4</v>
      </c>
      <c r="M231" s="134"/>
      <c r="N231" s="134"/>
      <c r="O231" s="134"/>
      <c r="P231" s="256">
        <f aca="true" t="shared" si="35" ref="P231:S232">H231+L231</f>
        <v>17984.4</v>
      </c>
      <c r="Q231" s="256">
        <f t="shared" si="35"/>
        <v>0</v>
      </c>
      <c r="R231" s="256">
        <f t="shared" si="35"/>
        <v>0</v>
      </c>
      <c r="S231" s="256">
        <f t="shared" si="35"/>
        <v>0</v>
      </c>
      <c r="T231" s="256">
        <v>17984.4</v>
      </c>
      <c r="U231" s="256"/>
      <c r="V231" s="287"/>
    </row>
    <row r="232" spans="1:22" ht="12.75">
      <c r="A232" s="275"/>
      <c r="B232" s="40" t="s">
        <v>27</v>
      </c>
      <c r="C232" s="290"/>
      <c r="D232" s="287"/>
      <c r="E232" s="346"/>
      <c r="F232" s="284"/>
      <c r="G232" s="273"/>
      <c r="H232" s="273"/>
      <c r="I232" s="136"/>
      <c r="J232" s="136"/>
      <c r="K232" s="136"/>
      <c r="L232" s="273"/>
      <c r="M232" s="136"/>
      <c r="N232" s="136"/>
      <c r="O232" s="136"/>
      <c r="P232" s="273">
        <f t="shared" si="35"/>
        <v>0</v>
      </c>
      <c r="Q232" s="273">
        <f t="shared" si="35"/>
        <v>0</v>
      </c>
      <c r="R232" s="273">
        <f t="shared" si="35"/>
        <v>0</v>
      </c>
      <c r="S232" s="273">
        <f t="shared" si="35"/>
        <v>0</v>
      </c>
      <c r="T232" s="273"/>
      <c r="U232" s="273"/>
      <c r="V232" s="287"/>
    </row>
    <row r="233" spans="1:22" ht="12.75">
      <c r="A233" s="275"/>
      <c r="B233" s="23" t="s">
        <v>29</v>
      </c>
      <c r="C233" s="290"/>
      <c r="D233" s="287"/>
      <c r="E233" s="346"/>
      <c r="F233" s="284"/>
      <c r="G233" s="152">
        <v>0</v>
      </c>
      <c r="H233" s="136"/>
      <c r="I233" s="136"/>
      <c r="J233" s="136"/>
      <c r="K233" s="136"/>
      <c r="L233" s="152">
        <v>0</v>
      </c>
      <c r="M233" s="136"/>
      <c r="N233" s="136"/>
      <c r="O233" s="136"/>
      <c r="P233" s="152">
        <f>H233+L233</f>
        <v>0</v>
      </c>
      <c r="Q233" s="152">
        <f>I233+M233</f>
        <v>0</v>
      </c>
      <c r="R233" s="152">
        <f>J233+N233</f>
        <v>0</v>
      </c>
      <c r="S233" s="152">
        <f>K233+O233</f>
        <v>0</v>
      </c>
      <c r="T233" s="136"/>
      <c r="U233" s="136"/>
      <c r="V233" s="287"/>
    </row>
    <row r="234" spans="1:22" ht="12.75">
      <c r="A234" s="275"/>
      <c r="B234" s="44" t="s">
        <v>39</v>
      </c>
      <c r="C234" s="290"/>
      <c r="D234" s="287"/>
      <c r="E234" s="346"/>
      <c r="F234" s="284"/>
      <c r="G234" s="153">
        <v>0</v>
      </c>
      <c r="H234" s="136"/>
      <c r="I234" s="136"/>
      <c r="J234" s="136"/>
      <c r="K234" s="136"/>
      <c r="L234" s="153">
        <v>0</v>
      </c>
      <c r="M234" s="136"/>
      <c r="N234" s="136"/>
      <c r="O234" s="136"/>
      <c r="P234" s="153">
        <f aca="true" t="shared" si="36" ref="P234:S254">H234+L234</f>
        <v>0</v>
      </c>
      <c r="Q234" s="153">
        <f t="shared" si="36"/>
        <v>0</v>
      </c>
      <c r="R234" s="153">
        <f t="shared" si="36"/>
        <v>0</v>
      </c>
      <c r="S234" s="153">
        <f t="shared" si="36"/>
        <v>0</v>
      </c>
      <c r="T234" s="136"/>
      <c r="U234" s="136"/>
      <c r="V234" s="287"/>
    </row>
    <row r="235" spans="1:22" ht="12.75">
      <c r="A235" s="275"/>
      <c r="B235" s="23" t="s">
        <v>30</v>
      </c>
      <c r="C235" s="290"/>
      <c r="D235" s="287"/>
      <c r="E235" s="346"/>
      <c r="F235" s="284"/>
      <c r="G235" s="152">
        <v>0</v>
      </c>
      <c r="H235" s="136"/>
      <c r="I235" s="136"/>
      <c r="J235" s="136"/>
      <c r="K235" s="136"/>
      <c r="L235" s="152">
        <v>0</v>
      </c>
      <c r="M235" s="136"/>
      <c r="N235" s="136"/>
      <c r="O235" s="136"/>
      <c r="P235" s="152">
        <f t="shared" si="36"/>
        <v>0</v>
      </c>
      <c r="Q235" s="152">
        <f t="shared" si="36"/>
        <v>0</v>
      </c>
      <c r="R235" s="152">
        <f t="shared" si="36"/>
        <v>0</v>
      </c>
      <c r="S235" s="152">
        <f t="shared" si="36"/>
        <v>0</v>
      </c>
      <c r="T235" s="136"/>
      <c r="U235" s="136"/>
      <c r="V235" s="287"/>
    </row>
    <row r="236" spans="1:22" ht="12.75">
      <c r="A236" s="275"/>
      <c r="B236" s="44" t="s">
        <v>41</v>
      </c>
      <c r="C236" s="357"/>
      <c r="D236" s="346"/>
      <c r="E236" s="346"/>
      <c r="F236" s="346"/>
      <c r="G236" s="153">
        <v>0</v>
      </c>
      <c r="H236" s="140"/>
      <c r="I236" s="140"/>
      <c r="J236" s="140"/>
      <c r="K236" s="140"/>
      <c r="L236" s="153">
        <v>0</v>
      </c>
      <c r="M236" s="140"/>
      <c r="N236" s="140"/>
      <c r="O236" s="140"/>
      <c r="P236" s="153">
        <f t="shared" si="36"/>
        <v>0</v>
      </c>
      <c r="Q236" s="153">
        <f t="shared" si="36"/>
        <v>0</v>
      </c>
      <c r="R236" s="153">
        <f t="shared" si="36"/>
        <v>0</v>
      </c>
      <c r="S236" s="153">
        <f t="shared" si="36"/>
        <v>0</v>
      </c>
      <c r="T236" s="140"/>
      <c r="U236" s="140"/>
      <c r="V236" s="346"/>
    </row>
    <row r="237" spans="1:22" ht="12.75">
      <c r="A237" s="275"/>
      <c r="B237" s="41" t="s">
        <v>32</v>
      </c>
      <c r="C237" s="357"/>
      <c r="D237" s="346"/>
      <c r="E237" s="346"/>
      <c r="F237" s="346"/>
      <c r="G237" s="153">
        <v>0</v>
      </c>
      <c r="H237" s="140"/>
      <c r="I237" s="140"/>
      <c r="J237" s="140"/>
      <c r="K237" s="140"/>
      <c r="L237" s="153">
        <v>0</v>
      </c>
      <c r="M237" s="140"/>
      <c r="N237" s="140"/>
      <c r="O237" s="140"/>
      <c r="P237" s="153">
        <f t="shared" si="36"/>
        <v>0</v>
      </c>
      <c r="Q237" s="153">
        <f t="shared" si="36"/>
        <v>0</v>
      </c>
      <c r="R237" s="153">
        <f t="shared" si="36"/>
        <v>0</v>
      </c>
      <c r="S237" s="153">
        <f t="shared" si="36"/>
        <v>0</v>
      </c>
      <c r="T237" s="140"/>
      <c r="U237" s="140"/>
      <c r="V237" s="346"/>
    </row>
    <row r="238" spans="1:22" ht="12.75">
      <c r="A238" s="275"/>
      <c r="B238" s="41" t="s">
        <v>33</v>
      </c>
      <c r="C238" s="357"/>
      <c r="D238" s="346"/>
      <c r="E238" s="346"/>
      <c r="F238" s="346"/>
      <c r="G238" s="153">
        <v>0</v>
      </c>
      <c r="H238" s="140"/>
      <c r="I238" s="140"/>
      <c r="J238" s="140"/>
      <c r="K238" s="140"/>
      <c r="L238" s="153">
        <v>0</v>
      </c>
      <c r="M238" s="140"/>
      <c r="N238" s="140"/>
      <c r="O238" s="140"/>
      <c r="P238" s="153">
        <f t="shared" si="36"/>
        <v>0</v>
      </c>
      <c r="Q238" s="153">
        <f t="shared" si="36"/>
        <v>0</v>
      </c>
      <c r="R238" s="153">
        <f t="shared" si="36"/>
        <v>0</v>
      </c>
      <c r="S238" s="153">
        <f t="shared" si="36"/>
        <v>0</v>
      </c>
      <c r="T238" s="139"/>
      <c r="U238" s="140"/>
      <c r="V238" s="346"/>
    </row>
    <row r="239" spans="1:22" ht="12.75">
      <c r="A239" s="275"/>
      <c r="B239" s="23" t="s">
        <v>37</v>
      </c>
      <c r="C239" s="357"/>
      <c r="D239" s="346"/>
      <c r="E239" s="346"/>
      <c r="F239" s="346"/>
      <c r="G239" s="152">
        <v>0</v>
      </c>
      <c r="H239" s="140"/>
      <c r="I239" s="140"/>
      <c r="J239" s="140"/>
      <c r="K239" s="140"/>
      <c r="L239" s="152">
        <v>0</v>
      </c>
      <c r="M239" s="140"/>
      <c r="N239" s="140"/>
      <c r="O239" s="140"/>
      <c r="P239" s="152">
        <f t="shared" si="36"/>
        <v>0</v>
      </c>
      <c r="Q239" s="152">
        <f t="shared" si="36"/>
        <v>0</v>
      </c>
      <c r="R239" s="152">
        <f t="shared" si="36"/>
        <v>0</v>
      </c>
      <c r="S239" s="152">
        <f t="shared" si="36"/>
        <v>0</v>
      </c>
      <c r="T239" s="140"/>
      <c r="U239" s="140"/>
      <c r="V239" s="346"/>
    </row>
    <row r="240" spans="1:22" ht="12.75">
      <c r="A240" s="275"/>
      <c r="B240" s="23" t="s">
        <v>38</v>
      </c>
      <c r="C240" s="358"/>
      <c r="D240" s="345"/>
      <c r="E240" s="345"/>
      <c r="F240" s="345"/>
      <c r="G240" s="152">
        <v>0</v>
      </c>
      <c r="H240" s="140"/>
      <c r="I240" s="140"/>
      <c r="J240" s="140"/>
      <c r="K240" s="140"/>
      <c r="L240" s="152">
        <v>0</v>
      </c>
      <c r="M240" s="140"/>
      <c r="N240" s="140"/>
      <c r="O240" s="140"/>
      <c r="P240" s="152">
        <f t="shared" si="36"/>
        <v>0</v>
      </c>
      <c r="Q240" s="152">
        <f t="shared" si="36"/>
        <v>0</v>
      </c>
      <c r="R240" s="152">
        <f t="shared" si="36"/>
        <v>0</v>
      </c>
      <c r="S240" s="152">
        <f t="shared" si="36"/>
        <v>0</v>
      </c>
      <c r="T240" s="140"/>
      <c r="U240" s="140"/>
      <c r="V240" s="345"/>
    </row>
    <row r="241" spans="1:22" ht="25.5">
      <c r="A241" s="274" t="s">
        <v>74</v>
      </c>
      <c r="B241" s="16" t="s">
        <v>145</v>
      </c>
      <c r="C241" s="289" t="s">
        <v>58</v>
      </c>
      <c r="D241" s="286" t="s">
        <v>4</v>
      </c>
      <c r="E241" s="258">
        <v>0.328</v>
      </c>
      <c r="F241" s="283" t="s">
        <v>17</v>
      </c>
      <c r="G241" s="25">
        <f>G242+G247+G249+G253+G254</f>
        <v>28508.5</v>
      </c>
      <c r="H241" s="25">
        <f>H242+H247+H249+H253+H254</f>
        <v>0</v>
      </c>
      <c r="I241" s="26"/>
      <c r="J241" s="26"/>
      <c r="K241" s="26"/>
      <c r="L241" s="25">
        <f>L242+L247+L249+L253+L254</f>
        <v>28508.5</v>
      </c>
      <c r="M241" s="25">
        <f>M242+M247+M249+M253+M254</f>
        <v>1066.738</v>
      </c>
      <c r="N241" s="25">
        <f>N242+N247+N249+N253+N254</f>
        <v>1296.738</v>
      </c>
      <c r="O241" s="25">
        <f>O242+O247+O249+O253+O254</f>
        <v>1296.738</v>
      </c>
      <c r="P241" s="25">
        <f>H241+L241</f>
        <v>28508.5</v>
      </c>
      <c r="Q241" s="25">
        <f>I241+M241</f>
        <v>1066.738</v>
      </c>
      <c r="R241" s="25">
        <f>J241+N241</f>
        <v>1296.738</v>
      </c>
      <c r="S241" s="25">
        <f>K241+O241</f>
        <v>1296.738</v>
      </c>
      <c r="T241" s="26"/>
      <c r="U241" s="26"/>
      <c r="V241" s="288"/>
    </row>
    <row r="242" spans="1:22" ht="12.75">
      <c r="A242" s="275"/>
      <c r="B242" s="22" t="s">
        <v>127</v>
      </c>
      <c r="C242" s="290"/>
      <c r="D242" s="287"/>
      <c r="E242" s="346"/>
      <c r="F242" s="284"/>
      <c r="G242" s="256">
        <v>28508.5</v>
      </c>
      <c r="H242" s="256"/>
      <c r="I242" s="134"/>
      <c r="J242" s="134"/>
      <c r="K242" s="134"/>
      <c r="L242" s="256">
        <v>28508.5</v>
      </c>
      <c r="M242" s="256">
        <f>SUM(M244:M246)</f>
        <v>1066.738</v>
      </c>
      <c r="N242" s="256">
        <f>SUM(N244:N246)</f>
        <v>1296.738</v>
      </c>
      <c r="O242" s="256">
        <f>SUM(O244:O246)</f>
        <v>1296.738</v>
      </c>
      <c r="P242" s="256">
        <f aca="true" t="shared" si="37" ref="P242:S243">H242+L242</f>
        <v>28508.5</v>
      </c>
      <c r="Q242" s="256">
        <f t="shared" si="37"/>
        <v>1066.738</v>
      </c>
      <c r="R242" s="256">
        <f t="shared" si="37"/>
        <v>1296.738</v>
      </c>
      <c r="S242" s="256">
        <f t="shared" si="37"/>
        <v>1296.738</v>
      </c>
      <c r="T242" s="256">
        <v>28508.5</v>
      </c>
      <c r="U242" s="256"/>
      <c r="V242" s="287"/>
    </row>
    <row r="243" spans="1:22" ht="16.5" customHeight="1">
      <c r="A243" s="275"/>
      <c r="B243" s="40" t="s">
        <v>27</v>
      </c>
      <c r="C243" s="290"/>
      <c r="D243" s="287"/>
      <c r="E243" s="346"/>
      <c r="F243" s="284"/>
      <c r="G243" s="345"/>
      <c r="H243" s="273"/>
      <c r="I243" s="136"/>
      <c r="J243" s="136"/>
      <c r="K243" s="136"/>
      <c r="L243" s="273"/>
      <c r="M243" s="273"/>
      <c r="N243" s="273"/>
      <c r="O243" s="273"/>
      <c r="P243" s="273">
        <f t="shared" si="37"/>
        <v>0</v>
      </c>
      <c r="Q243" s="273">
        <f t="shared" si="37"/>
        <v>0</v>
      </c>
      <c r="R243" s="273">
        <f t="shared" si="37"/>
        <v>0</v>
      </c>
      <c r="S243" s="273">
        <f t="shared" si="37"/>
        <v>0</v>
      </c>
      <c r="T243" s="273"/>
      <c r="U243" s="273"/>
      <c r="V243" s="287"/>
    </row>
    <row r="244" spans="1:22" s="171" customFormat="1" ht="17.25" customHeight="1" hidden="1">
      <c r="A244" s="275"/>
      <c r="B244" s="115" t="s">
        <v>220</v>
      </c>
      <c r="C244" s="290"/>
      <c r="D244" s="287"/>
      <c r="E244" s="346"/>
      <c r="F244" s="284"/>
      <c r="G244" s="170"/>
      <c r="H244" s="118"/>
      <c r="I244" s="118"/>
      <c r="J244" s="118"/>
      <c r="K244" s="118"/>
      <c r="L244" s="118"/>
      <c r="M244" s="117">
        <f>273.138+23.6</f>
        <v>296.738</v>
      </c>
      <c r="N244" s="117">
        <f>81.941+191.197+7.08+16.52</f>
        <v>296.738</v>
      </c>
      <c r="O244" s="117">
        <f>81.941+191.197+7.08+16.52</f>
        <v>296.738</v>
      </c>
      <c r="P244" s="118"/>
      <c r="Q244" s="118"/>
      <c r="R244" s="118"/>
      <c r="S244" s="118"/>
      <c r="T244" s="118"/>
      <c r="U244" s="118"/>
      <c r="V244" s="287"/>
    </row>
    <row r="245" spans="1:22" s="187" customFormat="1" ht="16.5" customHeight="1" hidden="1">
      <c r="A245" s="275"/>
      <c r="B245" s="115" t="s">
        <v>221</v>
      </c>
      <c r="C245" s="290"/>
      <c r="D245" s="287"/>
      <c r="E245" s="346"/>
      <c r="F245" s="284"/>
      <c r="G245" s="186"/>
      <c r="H245" s="116"/>
      <c r="I245" s="116"/>
      <c r="J245" s="116"/>
      <c r="K245" s="116"/>
      <c r="L245" s="116"/>
      <c r="M245" s="117">
        <v>770</v>
      </c>
      <c r="N245" s="117">
        <v>1000</v>
      </c>
      <c r="O245" s="117">
        <v>1000</v>
      </c>
      <c r="P245" s="116"/>
      <c r="Q245" s="116"/>
      <c r="R245" s="116"/>
      <c r="S245" s="116"/>
      <c r="T245" s="116"/>
      <c r="U245" s="116"/>
      <c r="V245" s="287"/>
    </row>
    <row r="246" spans="1:22" s="187" customFormat="1" ht="18.75" customHeight="1" hidden="1">
      <c r="A246" s="275"/>
      <c r="B246" s="115"/>
      <c r="C246" s="290"/>
      <c r="D246" s="287"/>
      <c r="E246" s="346"/>
      <c r="F246" s="284"/>
      <c r="G246" s="18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287"/>
    </row>
    <row r="247" spans="1:22" ht="12.75">
      <c r="A247" s="275"/>
      <c r="B247" s="23" t="s">
        <v>29</v>
      </c>
      <c r="C247" s="290"/>
      <c r="D247" s="287"/>
      <c r="E247" s="346"/>
      <c r="F247" s="284"/>
      <c r="G247" s="152">
        <v>0</v>
      </c>
      <c r="H247" s="136"/>
      <c r="I247" s="136"/>
      <c r="J247" s="136"/>
      <c r="K247" s="136"/>
      <c r="L247" s="152">
        <v>0</v>
      </c>
      <c r="M247" s="136"/>
      <c r="N247" s="136"/>
      <c r="O247" s="136"/>
      <c r="P247" s="152">
        <f>H247+L247</f>
        <v>0</v>
      </c>
      <c r="Q247" s="152">
        <f>I247+M247</f>
        <v>0</v>
      </c>
      <c r="R247" s="152">
        <f>J247+N247</f>
        <v>0</v>
      </c>
      <c r="S247" s="152">
        <f>K247+O247</f>
        <v>0</v>
      </c>
      <c r="T247" s="136"/>
      <c r="U247" s="136"/>
      <c r="V247" s="287"/>
    </row>
    <row r="248" spans="1:22" ht="12.75">
      <c r="A248" s="275"/>
      <c r="B248" s="44" t="s">
        <v>39</v>
      </c>
      <c r="C248" s="290"/>
      <c r="D248" s="287"/>
      <c r="E248" s="346"/>
      <c r="F248" s="284"/>
      <c r="G248" s="153">
        <v>0</v>
      </c>
      <c r="H248" s="136"/>
      <c r="I248" s="136"/>
      <c r="J248" s="136"/>
      <c r="K248" s="136"/>
      <c r="L248" s="153">
        <v>0</v>
      </c>
      <c r="M248" s="136"/>
      <c r="N248" s="136"/>
      <c r="O248" s="136"/>
      <c r="P248" s="153">
        <f t="shared" si="36"/>
        <v>0</v>
      </c>
      <c r="Q248" s="153">
        <f t="shared" si="36"/>
        <v>0</v>
      </c>
      <c r="R248" s="153">
        <f t="shared" si="36"/>
        <v>0</v>
      </c>
      <c r="S248" s="153">
        <f t="shared" si="36"/>
        <v>0</v>
      </c>
      <c r="T248" s="136"/>
      <c r="U248" s="136"/>
      <c r="V248" s="287"/>
    </row>
    <row r="249" spans="1:22" ht="12.75">
      <c r="A249" s="275"/>
      <c r="B249" s="23" t="s">
        <v>30</v>
      </c>
      <c r="C249" s="290"/>
      <c r="D249" s="287"/>
      <c r="E249" s="346"/>
      <c r="F249" s="284"/>
      <c r="G249" s="152">
        <v>0</v>
      </c>
      <c r="H249" s="136"/>
      <c r="I249" s="136"/>
      <c r="J249" s="136"/>
      <c r="K249" s="136"/>
      <c r="L249" s="152">
        <v>0</v>
      </c>
      <c r="M249" s="136"/>
      <c r="N249" s="136"/>
      <c r="O249" s="136"/>
      <c r="P249" s="152">
        <f t="shared" si="36"/>
        <v>0</v>
      </c>
      <c r="Q249" s="152">
        <f t="shared" si="36"/>
        <v>0</v>
      </c>
      <c r="R249" s="152">
        <f t="shared" si="36"/>
        <v>0</v>
      </c>
      <c r="S249" s="152">
        <f t="shared" si="36"/>
        <v>0</v>
      </c>
      <c r="T249" s="136"/>
      <c r="U249" s="136"/>
      <c r="V249" s="287"/>
    </row>
    <row r="250" spans="1:22" ht="12.75">
      <c r="A250" s="275"/>
      <c r="B250" s="44" t="s">
        <v>41</v>
      </c>
      <c r="C250" s="357"/>
      <c r="D250" s="346"/>
      <c r="E250" s="346"/>
      <c r="F250" s="346"/>
      <c r="G250" s="153">
        <v>0</v>
      </c>
      <c r="H250" s="140"/>
      <c r="I250" s="140"/>
      <c r="J250" s="140"/>
      <c r="K250" s="140"/>
      <c r="L250" s="153">
        <v>0</v>
      </c>
      <c r="M250" s="140"/>
      <c r="N250" s="140"/>
      <c r="O250" s="140"/>
      <c r="P250" s="153">
        <f t="shared" si="36"/>
        <v>0</v>
      </c>
      <c r="Q250" s="153">
        <f t="shared" si="36"/>
        <v>0</v>
      </c>
      <c r="R250" s="153">
        <f t="shared" si="36"/>
        <v>0</v>
      </c>
      <c r="S250" s="153">
        <f t="shared" si="36"/>
        <v>0</v>
      </c>
      <c r="T250" s="140"/>
      <c r="U250" s="140"/>
      <c r="V250" s="346"/>
    </row>
    <row r="251" spans="1:22" ht="12.75">
      <c r="A251" s="275"/>
      <c r="B251" s="41" t="s">
        <v>32</v>
      </c>
      <c r="C251" s="357"/>
      <c r="D251" s="346"/>
      <c r="E251" s="346"/>
      <c r="F251" s="346"/>
      <c r="G251" s="153">
        <v>0</v>
      </c>
      <c r="H251" s="140"/>
      <c r="I251" s="140"/>
      <c r="J251" s="140"/>
      <c r="K251" s="140"/>
      <c r="L251" s="153">
        <v>0</v>
      </c>
      <c r="M251" s="140"/>
      <c r="N251" s="140"/>
      <c r="O251" s="140"/>
      <c r="P251" s="153">
        <f t="shared" si="36"/>
        <v>0</v>
      </c>
      <c r="Q251" s="153">
        <f t="shared" si="36"/>
        <v>0</v>
      </c>
      <c r="R251" s="153">
        <f t="shared" si="36"/>
        <v>0</v>
      </c>
      <c r="S251" s="153">
        <f t="shared" si="36"/>
        <v>0</v>
      </c>
      <c r="T251" s="140"/>
      <c r="U251" s="140"/>
      <c r="V251" s="346"/>
    </row>
    <row r="252" spans="1:22" ht="12.75">
      <c r="A252" s="275"/>
      <c r="B252" s="41" t="s">
        <v>33</v>
      </c>
      <c r="C252" s="357"/>
      <c r="D252" s="346"/>
      <c r="E252" s="346"/>
      <c r="F252" s="346"/>
      <c r="G252" s="153">
        <v>0</v>
      </c>
      <c r="H252" s="140"/>
      <c r="I252" s="140"/>
      <c r="J252" s="140"/>
      <c r="K252" s="140"/>
      <c r="L252" s="153">
        <v>0</v>
      </c>
      <c r="M252" s="140"/>
      <c r="N252" s="140"/>
      <c r="O252" s="140"/>
      <c r="P252" s="153">
        <f t="shared" si="36"/>
        <v>0</v>
      </c>
      <c r="Q252" s="153">
        <f t="shared" si="36"/>
        <v>0</v>
      </c>
      <c r="R252" s="153">
        <f t="shared" si="36"/>
        <v>0</v>
      </c>
      <c r="S252" s="153">
        <f t="shared" si="36"/>
        <v>0</v>
      </c>
      <c r="T252" s="140"/>
      <c r="U252" s="140"/>
      <c r="V252" s="346"/>
    </row>
    <row r="253" spans="1:22" ht="12.75">
      <c r="A253" s="275"/>
      <c r="B253" s="23" t="s">
        <v>37</v>
      </c>
      <c r="C253" s="357"/>
      <c r="D253" s="346"/>
      <c r="E253" s="346"/>
      <c r="F253" s="346"/>
      <c r="G253" s="152">
        <v>0</v>
      </c>
      <c r="H253" s="140"/>
      <c r="I253" s="140"/>
      <c r="J253" s="140"/>
      <c r="K253" s="140"/>
      <c r="L253" s="152">
        <v>0</v>
      </c>
      <c r="M253" s="140"/>
      <c r="N253" s="140"/>
      <c r="O253" s="140"/>
      <c r="P253" s="152">
        <f t="shared" si="36"/>
        <v>0</v>
      </c>
      <c r="Q253" s="152">
        <f t="shared" si="36"/>
        <v>0</v>
      </c>
      <c r="R253" s="152">
        <f t="shared" si="36"/>
        <v>0</v>
      </c>
      <c r="S253" s="152">
        <f t="shared" si="36"/>
        <v>0</v>
      </c>
      <c r="T253" s="140"/>
      <c r="U253" s="140"/>
      <c r="V253" s="346"/>
    </row>
    <row r="254" spans="1:22" ht="12.75">
      <c r="A254" s="276"/>
      <c r="B254" s="23" t="s">
        <v>38</v>
      </c>
      <c r="C254" s="358"/>
      <c r="D254" s="345"/>
      <c r="E254" s="345"/>
      <c r="F254" s="345"/>
      <c r="G254" s="152">
        <v>0</v>
      </c>
      <c r="H254" s="140"/>
      <c r="I254" s="140"/>
      <c r="J254" s="140"/>
      <c r="K254" s="140"/>
      <c r="L254" s="152">
        <v>0</v>
      </c>
      <c r="M254" s="140"/>
      <c r="N254" s="140"/>
      <c r="O254" s="140"/>
      <c r="P254" s="152">
        <f t="shared" si="36"/>
        <v>0</v>
      </c>
      <c r="Q254" s="152">
        <f t="shared" si="36"/>
        <v>0</v>
      </c>
      <c r="R254" s="152">
        <f t="shared" si="36"/>
        <v>0</v>
      </c>
      <c r="S254" s="152">
        <f t="shared" si="36"/>
        <v>0</v>
      </c>
      <c r="T254" s="140"/>
      <c r="U254" s="140"/>
      <c r="V254" s="345"/>
    </row>
    <row r="255" spans="1:22" ht="25.5">
      <c r="A255" s="274" t="s">
        <v>75</v>
      </c>
      <c r="B255" s="16" t="s">
        <v>46</v>
      </c>
      <c r="C255" s="289" t="s">
        <v>43</v>
      </c>
      <c r="D255" s="288" t="s">
        <v>5</v>
      </c>
      <c r="E255" s="258">
        <v>90</v>
      </c>
      <c r="F255" s="283" t="s">
        <v>18</v>
      </c>
      <c r="G255" s="25">
        <f>G256+G258+G260+G264+G265</f>
        <v>485875.1</v>
      </c>
      <c r="H255" s="25">
        <f>H256+H258+H260+H264+H265</f>
        <v>0</v>
      </c>
      <c r="I255" s="26"/>
      <c r="J255" s="26"/>
      <c r="K255" s="26"/>
      <c r="L255" s="25">
        <f>L256+L258+L260+L264+L265</f>
        <v>120890.6</v>
      </c>
      <c r="M255" s="26">
        <v>0</v>
      </c>
      <c r="N255" s="26">
        <v>0</v>
      </c>
      <c r="O255" s="26">
        <v>0</v>
      </c>
      <c r="P255" s="25">
        <f>H255+L255</f>
        <v>120890.6</v>
      </c>
      <c r="Q255" s="25">
        <f>I255+M255</f>
        <v>0</v>
      </c>
      <c r="R255" s="25">
        <f>J255+N255</f>
        <v>0</v>
      </c>
      <c r="S255" s="25">
        <f>K255+O255</f>
        <v>0</v>
      </c>
      <c r="T255" s="26"/>
      <c r="U255" s="26"/>
      <c r="V255" s="288"/>
    </row>
    <row r="256" spans="1:22" ht="12.75">
      <c r="A256" s="275"/>
      <c r="B256" s="22" t="s">
        <v>127</v>
      </c>
      <c r="C256" s="290"/>
      <c r="D256" s="287"/>
      <c r="E256" s="346"/>
      <c r="F256" s="284"/>
      <c r="G256" s="256">
        <v>485875.1</v>
      </c>
      <c r="H256" s="256"/>
      <c r="I256" s="134"/>
      <c r="J256" s="134"/>
      <c r="K256" s="134"/>
      <c r="L256" s="256">
        <v>120890.6</v>
      </c>
      <c r="M256" s="134"/>
      <c r="N256" s="134"/>
      <c r="O256" s="134"/>
      <c r="P256" s="256">
        <f aca="true" t="shared" si="38" ref="P256:S257">H256+L256</f>
        <v>120890.6</v>
      </c>
      <c r="Q256" s="256">
        <f t="shared" si="38"/>
        <v>0</v>
      </c>
      <c r="R256" s="256">
        <f t="shared" si="38"/>
        <v>0</v>
      </c>
      <c r="S256" s="256">
        <f t="shared" si="38"/>
        <v>0</v>
      </c>
      <c r="T256" s="256">
        <v>120890.57</v>
      </c>
      <c r="U256" s="256">
        <v>364984.5</v>
      </c>
      <c r="V256" s="287"/>
    </row>
    <row r="257" spans="1:22" ht="12.75">
      <c r="A257" s="275"/>
      <c r="B257" s="40" t="s">
        <v>27</v>
      </c>
      <c r="C257" s="290"/>
      <c r="D257" s="287"/>
      <c r="E257" s="346"/>
      <c r="F257" s="284"/>
      <c r="G257" s="345"/>
      <c r="H257" s="273"/>
      <c r="I257" s="136"/>
      <c r="J257" s="136"/>
      <c r="K257" s="136"/>
      <c r="L257" s="273"/>
      <c r="M257" s="136"/>
      <c r="N257" s="136"/>
      <c r="O257" s="136"/>
      <c r="P257" s="273">
        <f t="shared" si="38"/>
        <v>0</v>
      </c>
      <c r="Q257" s="273">
        <f t="shared" si="38"/>
        <v>0</v>
      </c>
      <c r="R257" s="273">
        <f t="shared" si="38"/>
        <v>0</v>
      </c>
      <c r="S257" s="273">
        <f t="shared" si="38"/>
        <v>0</v>
      </c>
      <c r="T257" s="273"/>
      <c r="U257" s="273"/>
      <c r="V257" s="287"/>
    </row>
    <row r="258" spans="1:22" ht="12.75">
      <c r="A258" s="275"/>
      <c r="B258" s="23" t="s">
        <v>29</v>
      </c>
      <c r="C258" s="290"/>
      <c r="D258" s="287"/>
      <c r="E258" s="346"/>
      <c r="F258" s="284"/>
      <c r="G258" s="152">
        <v>0</v>
      </c>
      <c r="H258" s="136"/>
      <c r="I258" s="136"/>
      <c r="J258" s="136"/>
      <c r="K258" s="136"/>
      <c r="L258" s="152">
        <v>0</v>
      </c>
      <c r="M258" s="136"/>
      <c r="N258" s="136"/>
      <c r="O258" s="136"/>
      <c r="P258" s="152">
        <f>H258+L258</f>
        <v>0</v>
      </c>
      <c r="Q258" s="152">
        <f>I258+M258</f>
        <v>0</v>
      </c>
      <c r="R258" s="152">
        <f>J258+N258</f>
        <v>0</v>
      </c>
      <c r="S258" s="152">
        <f>K258+O258</f>
        <v>0</v>
      </c>
      <c r="T258" s="136"/>
      <c r="U258" s="136"/>
      <c r="V258" s="287"/>
    </row>
    <row r="259" spans="1:22" ht="12.75">
      <c r="A259" s="275"/>
      <c r="B259" s="44" t="s">
        <v>39</v>
      </c>
      <c r="C259" s="290"/>
      <c r="D259" s="287"/>
      <c r="E259" s="346"/>
      <c r="F259" s="284"/>
      <c r="G259" s="153">
        <v>0</v>
      </c>
      <c r="H259" s="136"/>
      <c r="I259" s="136"/>
      <c r="J259" s="136"/>
      <c r="K259" s="136"/>
      <c r="L259" s="153">
        <v>0</v>
      </c>
      <c r="M259" s="136"/>
      <c r="N259" s="136"/>
      <c r="O259" s="136"/>
      <c r="P259" s="153">
        <f aca="true" t="shared" si="39" ref="P259:S265">H259+L259</f>
        <v>0</v>
      </c>
      <c r="Q259" s="153">
        <f t="shared" si="39"/>
        <v>0</v>
      </c>
      <c r="R259" s="153">
        <f t="shared" si="39"/>
        <v>0</v>
      </c>
      <c r="S259" s="153">
        <f t="shared" si="39"/>
        <v>0</v>
      </c>
      <c r="T259" s="136"/>
      <c r="U259" s="136"/>
      <c r="V259" s="287"/>
    </row>
    <row r="260" spans="1:22" ht="12.75">
      <c r="A260" s="275"/>
      <c r="B260" s="23" t="s">
        <v>30</v>
      </c>
      <c r="C260" s="290"/>
      <c r="D260" s="287"/>
      <c r="E260" s="346"/>
      <c r="F260" s="284"/>
      <c r="G260" s="152">
        <v>0</v>
      </c>
      <c r="H260" s="136"/>
      <c r="I260" s="136"/>
      <c r="J260" s="136"/>
      <c r="K260" s="136"/>
      <c r="L260" s="152">
        <v>0</v>
      </c>
      <c r="M260" s="136"/>
      <c r="N260" s="136"/>
      <c r="O260" s="136"/>
      <c r="P260" s="152">
        <f t="shared" si="39"/>
        <v>0</v>
      </c>
      <c r="Q260" s="152">
        <f t="shared" si="39"/>
        <v>0</v>
      </c>
      <c r="R260" s="152">
        <f t="shared" si="39"/>
        <v>0</v>
      </c>
      <c r="S260" s="152">
        <f t="shared" si="39"/>
        <v>0</v>
      </c>
      <c r="T260" s="136"/>
      <c r="U260" s="136"/>
      <c r="V260" s="287"/>
    </row>
    <row r="261" spans="1:22" ht="12.75">
      <c r="A261" s="275"/>
      <c r="B261" s="44" t="s">
        <v>41</v>
      </c>
      <c r="C261" s="357"/>
      <c r="D261" s="346"/>
      <c r="E261" s="346"/>
      <c r="F261" s="346"/>
      <c r="G261" s="153">
        <v>0</v>
      </c>
      <c r="H261" s="140"/>
      <c r="I261" s="140"/>
      <c r="J261" s="140"/>
      <c r="K261" s="140"/>
      <c r="L261" s="153">
        <v>0</v>
      </c>
      <c r="M261" s="140"/>
      <c r="N261" s="140"/>
      <c r="O261" s="140"/>
      <c r="P261" s="153">
        <f t="shared" si="39"/>
        <v>0</v>
      </c>
      <c r="Q261" s="153">
        <f t="shared" si="39"/>
        <v>0</v>
      </c>
      <c r="R261" s="153">
        <f t="shared" si="39"/>
        <v>0</v>
      </c>
      <c r="S261" s="153">
        <f t="shared" si="39"/>
        <v>0</v>
      </c>
      <c r="T261" s="140"/>
      <c r="U261" s="140"/>
      <c r="V261" s="346"/>
    </row>
    <row r="262" spans="1:22" ht="12.75">
      <c r="A262" s="275"/>
      <c r="B262" s="41" t="s">
        <v>32</v>
      </c>
      <c r="C262" s="357"/>
      <c r="D262" s="346"/>
      <c r="E262" s="346"/>
      <c r="F262" s="346"/>
      <c r="G262" s="153">
        <v>0</v>
      </c>
      <c r="H262" s="140"/>
      <c r="I262" s="140"/>
      <c r="J262" s="140"/>
      <c r="K262" s="140"/>
      <c r="L262" s="153">
        <v>0</v>
      </c>
      <c r="M262" s="140"/>
      <c r="N262" s="140"/>
      <c r="O262" s="140"/>
      <c r="P262" s="153">
        <f t="shared" si="39"/>
        <v>0</v>
      </c>
      <c r="Q262" s="153">
        <f t="shared" si="39"/>
        <v>0</v>
      </c>
      <c r="R262" s="153">
        <f t="shared" si="39"/>
        <v>0</v>
      </c>
      <c r="S262" s="153">
        <f t="shared" si="39"/>
        <v>0</v>
      </c>
      <c r="T262" s="140"/>
      <c r="U262" s="140"/>
      <c r="V262" s="346"/>
    </row>
    <row r="263" spans="1:22" ht="12.75">
      <c r="A263" s="275"/>
      <c r="B263" s="41" t="s">
        <v>33</v>
      </c>
      <c r="C263" s="357"/>
      <c r="D263" s="346"/>
      <c r="E263" s="346"/>
      <c r="F263" s="346"/>
      <c r="G263" s="153">
        <v>0</v>
      </c>
      <c r="H263" s="140"/>
      <c r="I263" s="140"/>
      <c r="J263" s="140"/>
      <c r="K263" s="140"/>
      <c r="L263" s="153">
        <v>0</v>
      </c>
      <c r="M263" s="140"/>
      <c r="N263" s="140"/>
      <c r="O263" s="140"/>
      <c r="P263" s="153">
        <f t="shared" si="39"/>
        <v>0</v>
      </c>
      <c r="Q263" s="153">
        <f t="shared" si="39"/>
        <v>0</v>
      </c>
      <c r="R263" s="153">
        <f t="shared" si="39"/>
        <v>0</v>
      </c>
      <c r="S263" s="153">
        <f t="shared" si="39"/>
        <v>0</v>
      </c>
      <c r="T263" s="140"/>
      <c r="U263" s="140"/>
      <c r="V263" s="346"/>
    </row>
    <row r="264" spans="1:22" ht="12.75">
      <c r="A264" s="275"/>
      <c r="B264" s="23" t="s">
        <v>37</v>
      </c>
      <c r="C264" s="357"/>
      <c r="D264" s="346"/>
      <c r="E264" s="346"/>
      <c r="F264" s="346"/>
      <c r="G264" s="152">
        <v>0</v>
      </c>
      <c r="H264" s="140"/>
      <c r="I264" s="140"/>
      <c r="J264" s="140"/>
      <c r="K264" s="140"/>
      <c r="L264" s="152">
        <v>0</v>
      </c>
      <c r="M264" s="140"/>
      <c r="N264" s="140"/>
      <c r="O264" s="140"/>
      <c r="P264" s="152">
        <f t="shared" si="39"/>
        <v>0</v>
      </c>
      <c r="Q264" s="152">
        <f t="shared" si="39"/>
        <v>0</v>
      </c>
      <c r="R264" s="152">
        <f t="shared" si="39"/>
        <v>0</v>
      </c>
      <c r="S264" s="152">
        <f t="shared" si="39"/>
        <v>0</v>
      </c>
      <c r="T264" s="140"/>
      <c r="U264" s="140"/>
      <c r="V264" s="346"/>
    </row>
    <row r="265" spans="1:22" ht="12.75">
      <c r="A265" s="275"/>
      <c r="B265" s="23" t="s">
        <v>38</v>
      </c>
      <c r="C265" s="358"/>
      <c r="D265" s="345"/>
      <c r="E265" s="345"/>
      <c r="F265" s="345"/>
      <c r="G265" s="152">
        <v>0</v>
      </c>
      <c r="H265" s="140"/>
      <c r="I265" s="140"/>
      <c r="J265" s="140"/>
      <c r="K265" s="140"/>
      <c r="L265" s="152">
        <v>0</v>
      </c>
      <c r="M265" s="140"/>
      <c r="N265" s="140"/>
      <c r="O265" s="140"/>
      <c r="P265" s="152">
        <f t="shared" si="39"/>
        <v>0</v>
      </c>
      <c r="Q265" s="152">
        <f t="shared" si="39"/>
        <v>0</v>
      </c>
      <c r="R265" s="152">
        <f t="shared" si="39"/>
        <v>0</v>
      </c>
      <c r="S265" s="152">
        <f t="shared" si="39"/>
        <v>0</v>
      </c>
      <c r="T265" s="140"/>
      <c r="U265" s="140"/>
      <c r="V265" s="345"/>
    </row>
    <row r="266" spans="1:22" ht="19.5" customHeight="1" hidden="1">
      <c r="A266" s="274"/>
      <c r="B266" s="16"/>
      <c r="C266" s="289" t="s">
        <v>43</v>
      </c>
      <c r="D266" s="286" t="s">
        <v>6</v>
      </c>
      <c r="E266" s="258">
        <v>60</v>
      </c>
      <c r="F266" s="283" t="s">
        <v>18</v>
      </c>
      <c r="G266" s="25">
        <f>G267+G269+G271+G275+G276</f>
        <v>0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88"/>
    </row>
    <row r="267" spans="1:22" ht="12.75" customHeight="1" hidden="1">
      <c r="A267" s="275"/>
      <c r="B267" s="22" t="s">
        <v>28</v>
      </c>
      <c r="C267" s="290"/>
      <c r="D267" s="287"/>
      <c r="E267" s="346"/>
      <c r="F267" s="284"/>
      <c r="G267" s="256">
        <f>SUM(H267:U267)</f>
        <v>0</v>
      </c>
      <c r="H267" s="256"/>
      <c r="I267" s="134"/>
      <c r="J267" s="134"/>
      <c r="K267" s="134"/>
      <c r="L267" s="134"/>
      <c r="M267" s="134"/>
      <c r="N267" s="134"/>
      <c r="O267" s="134"/>
      <c r="P267" s="134"/>
      <c r="Q267" s="143"/>
      <c r="R267" s="143"/>
      <c r="S267" s="143"/>
      <c r="T267" s="256"/>
      <c r="U267" s="256"/>
      <c r="V267" s="287"/>
    </row>
    <row r="268" spans="1:22" ht="12.75" customHeight="1" hidden="1">
      <c r="A268" s="275"/>
      <c r="B268" s="40" t="s">
        <v>27</v>
      </c>
      <c r="C268" s="290"/>
      <c r="D268" s="287"/>
      <c r="E268" s="346"/>
      <c r="F268" s="284"/>
      <c r="G268" s="345"/>
      <c r="H268" s="273"/>
      <c r="I268" s="136"/>
      <c r="J268" s="136"/>
      <c r="K268" s="136"/>
      <c r="L268" s="136"/>
      <c r="M268" s="136"/>
      <c r="N268" s="136"/>
      <c r="O268" s="136"/>
      <c r="P268" s="136"/>
      <c r="Q268" s="144"/>
      <c r="R268" s="144"/>
      <c r="S268" s="144"/>
      <c r="T268" s="273"/>
      <c r="U268" s="273"/>
      <c r="V268" s="287"/>
    </row>
    <row r="269" spans="1:22" ht="12.75" customHeight="1" hidden="1">
      <c r="A269" s="275"/>
      <c r="B269" s="23" t="s">
        <v>29</v>
      </c>
      <c r="C269" s="290"/>
      <c r="D269" s="287"/>
      <c r="E269" s="346"/>
      <c r="F269" s="284"/>
      <c r="G269" s="140">
        <f>SUM(G270)</f>
        <v>0</v>
      </c>
      <c r="H269" s="136"/>
      <c r="I269" s="136"/>
      <c r="J269" s="136"/>
      <c r="K269" s="136"/>
      <c r="L269" s="136"/>
      <c r="M269" s="136"/>
      <c r="N269" s="136"/>
      <c r="O269" s="136"/>
      <c r="P269" s="136"/>
      <c r="Q269" s="144"/>
      <c r="R269" s="144"/>
      <c r="S269" s="144"/>
      <c r="T269" s="136"/>
      <c r="U269" s="136"/>
      <c r="V269" s="287"/>
    </row>
    <row r="270" spans="1:22" ht="12.75" customHeight="1" hidden="1">
      <c r="A270" s="275"/>
      <c r="B270" s="44" t="s">
        <v>39</v>
      </c>
      <c r="C270" s="290"/>
      <c r="D270" s="287"/>
      <c r="E270" s="346"/>
      <c r="F270" s="284"/>
      <c r="G270" s="139">
        <f>SUM(H270:U270)</f>
        <v>0</v>
      </c>
      <c r="H270" s="136"/>
      <c r="I270" s="136"/>
      <c r="J270" s="136"/>
      <c r="K270" s="136"/>
      <c r="L270" s="136"/>
      <c r="M270" s="136"/>
      <c r="N270" s="136"/>
      <c r="O270" s="136"/>
      <c r="P270" s="136"/>
      <c r="Q270" s="144"/>
      <c r="R270" s="144"/>
      <c r="S270" s="144"/>
      <c r="T270" s="136"/>
      <c r="U270" s="136"/>
      <c r="V270" s="287"/>
    </row>
    <row r="271" spans="1:22" ht="12.75" customHeight="1" hidden="1">
      <c r="A271" s="275"/>
      <c r="B271" s="23" t="s">
        <v>30</v>
      </c>
      <c r="C271" s="290"/>
      <c r="D271" s="287"/>
      <c r="E271" s="346"/>
      <c r="F271" s="284"/>
      <c r="G271" s="140">
        <f>SUM(G272:G274)</f>
        <v>0</v>
      </c>
      <c r="H271" s="136"/>
      <c r="I271" s="136"/>
      <c r="J271" s="136"/>
      <c r="K271" s="136"/>
      <c r="L271" s="136"/>
      <c r="M271" s="136"/>
      <c r="N271" s="136"/>
      <c r="O271" s="136"/>
      <c r="P271" s="136"/>
      <c r="Q271" s="144"/>
      <c r="R271" s="144"/>
      <c r="S271" s="144"/>
      <c r="T271" s="136"/>
      <c r="U271" s="136"/>
      <c r="V271" s="287"/>
    </row>
    <row r="272" spans="1:22" ht="12.75" customHeight="1" hidden="1">
      <c r="A272" s="275"/>
      <c r="B272" s="44" t="s">
        <v>41</v>
      </c>
      <c r="C272" s="357"/>
      <c r="D272" s="346"/>
      <c r="E272" s="346"/>
      <c r="F272" s="346"/>
      <c r="G272" s="139">
        <f>SUM(H272:U272)</f>
        <v>0</v>
      </c>
      <c r="H272" s="140"/>
      <c r="I272" s="140"/>
      <c r="J272" s="140"/>
      <c r="K272" s="140"/>
      <c r="L272" s="140"/>
      <c r="M272" s="140"/>
      <c r="N272" s="140"/>
      <c r="O272" s="140"/>
      <c r="P272" s="140"/>
      <c r="Q272" s="152"/>
      <c r="R272" s="152"/>
      <c r="S272" s="152"/>
      <c r="T272" s="140"/>
      <c r="U272" s="140"/>
      <c r="V272" s="346"/>
    </row>
    <row r="273" spans="1:22" ht="12.75" customHeight="1" hidden="1">
      <c r="A273" s="275"/>
      <c r="B273" s="41" t="s">
        <v>32</v>
      </c>
      <c r="C273" s="357"/>
      <c r="D273" s="346"/>
      <c r="E273" s="346"/>
      <c r="F273" s="346"/>
      <c r="G273" s="139">
        <f>SUM(H273:U273)</f>
        <v>0</v>
      </c>
      <c r="H273" s="140"/>
      <c r="I273" s="140"/>
      <c r="J273" s="140"/>
      <c r="K273" s="140"/>
      <c r="L273" s="140"/>
      <c r="M273" s="140"/>
      <c r="N273" s="140"/>
      <c r="O273" s="140"/>
      <c r="P273" s="140"/>
      <c r="Q273" s="152"/>
      <c r="R273" s="152"/>
      <c r="S273" s="152"/>
      <c r="T273" s="140"/>
      <c r="U273" s="140"/>
      <c r="V273" s="346"/>
    </row>
    <row r="274" spans="1:22" ht="12.75" customHeight="1" hidden="1">
      <c r="A274" s="275"/>
      <c r="B274" s="41" t="s">
        <v>33</v>
      </c>
      <c r="C274" s="357"/>
      <c r="D274" s="346"/>
      <c r="E274" s="346"/>
      <c r="F274" s="346"/>
      <c r="G274" s="139">
        <f>SUM(H274:U274)</f>
        <v>0</v>
      </c>
      <c r="H274" s="140"/>
      <c r="I274" s="140"/>
      <c r="J274" s="140"/>
      <c r="K274" s="140"/>
      <c r="L274" s="140"/>
      <c r="M274" s="140"/>
      <c r="N274" s="140"/>
      <c r="O274" s="140"/>
      <c r="P274" s="140"/>
      <c r="Q274" s="152"/>
      <c r="R274" s="152"/>
      <c r="S274" s="152"/>
      <c r="T274" s="140"/>
      <c r="U274" s="140"/>
      <c r="V274" s="346"/>
    </row>
    <row r="275" spans="1:22" ht="12.75" customHeight="1" hidden="1">
      <c r="A275" s="275"/>
      <c r="B275" s="23" t="s">
        <v>37</v>
      </c>
      <c r="C275" s="357"/>
      <c r="D275" s="346"/>
      <c r="E275" s="346"/>
      <c r="F275" s="346"/>
      <c r="G275" s="140">
        <f>SUM(H275:U275)</f>
        <v>0</v>
      </c>
      <c r="H275" s="140"/>
      <c r="I275" s="140"/>
      <c r="J275" s="140"/>
      <c r="K275" s="140"/>
      <c r="L275" s="140"/>
      <c r="M275" s="140"/>
      <c r="N275" s="140"/>
      <c r="O275" s="140"/>
      <c r="P275" s="140"/>
      <c r="Q275" s="152"/>
      <c r="R275" s="152"/>
      <c r="S275" s="152"/>
      <c r="T275" s="140"/>
      <c r="U275" s="140"/>
      <c r="V275" s="346"/>
    </row>
    <row r="276" spans="1:22" ht="12.75" customHeight="1" hidden="1">
      <c r="A276" s="275"/>
      <c r="B276" s="23" t="s">
        <v>38</v>
      </c>
      <c r="C276" s="358"/>
      <c r="D276" s="345"/>
      <c r="E276" s="345"/>
      <c r="F276" s="345"/>
      <c r="G276" s="140">
        <f>SUM(H276:U276)</f>
        <v>0</v>
      </c>
      <c r="H276" s="140"/>
      <c r="I276" s="140"/>
      <c r="J276" s="140"/>
      <c r="K276" s="140"/>
      <c r="L276" s="140"/>
      <c r="M276" s="140"/>
      <c r="N276" s="140"/>
      <c r="O276" s="140"/>
      <c r="P276" s="140"/>
      <c r="Q276" s="152"/>
      <c r="R276" s="152"/>
      <c r="S276" s="152"/>
      <c r="T276" s="140"/>
      <c r="U276" s="140"/>
      <c r="V276" s="345"/>
    </row>
    <row r="277" spans="1:22" ht="42.75" customHeight="1">
      <c r="A277" s="274" t="s">
        <v>76</v>
      </c>
      <c r="B277" s="16" t="s">
        <v>146</v>
      </c>
      <c r="C277" s="289" t="s">
        <v>43</v>
      </c>
      <c r="D277" s="286" t="s">
        <v>7</v>
      </c>
      <c r="E277" s="258">
        <v>14.5</v>
      </c>
      <c r="F277" s="283" t="s">
        <v>17</v>
      </c>
      <c r="G277" s="25">
        <f>G278+G282+G284+G288+G289</f>
        <v>18317.9</v>
      </c>
      <c r="H277" s="25">
        <f>H278+H282+H284+H288+H289</f>
        <v>0</v>
      </c>
      <c r="I277" s="26"/>
      <c r="J277" s="26"/>
      <c r="K277" s="26"/>
      <c r="L277" s="25">
        <f>L278+L282+L284+L288+L289</f>
        <v>18317.9</v>
      </c>
      <c r="M277" s="25">
        <f>M278+M282+M284+M288+M289</f>
        <v>291.626</v>
      </c>
      <c r="N277" s="25">
        <f>N278+N282+N284+N288+N289</f>
        <v>291.626</v>
      </c>
      <c r="O277" s="25">
        <f>O278+O282+O284+O288+O289</f>
        <v>291.626</v>
      </c>
      <c r="P277" s="25">
        <f>H277+L277</f>
        <v>18317.9</v>
      </c>
      <c r="Q277" s="25">
        <f>I277+M277</f>
        <v>291.626</v>
      </c>
      <c r="R277" s="25">
        <f>J277+N277</f>
        <v>291.626</v>
      </c>
      <c r="S277" s="25">
        <f>K277+O277</f>
        <v>291.626</v>
      </c>
      <c r="T277" s="26"/>
      <c r="U277" s="26"/>
      <c r="V277" s="288"/>
    </row>
    <row r="278" spans="1:22" ht="12.75">
      <c r="A278" s="275"/>
      <c r="B278" s="22" t="s">
        <v>127</v>
      </c>
      <c r="C278" s="290"/>
      <c r="D278" s="287"/>
      <c r="E278" s="346"/>
      <c r="F278" s="284"/>
      <c r="G278" s="256">
        <v>18317.9</v>
      </c>
      <c r="H278" s="256"/>
      <c r="I278" s="134"/>
      <c r="J278" s="134"/>
      <c r="K278" s="134"/>
      <c r="L278" s="256">
        <v>18317.9</v>
      </c>
      <c r="M278" s="256">
        <f>SUM(M280:M281)</f>
        <v>291.626</v>
      </c>
      <c r="N278" s="256">
        <f>SUM(N280:N281)</f>
        <v>291.626</v>
      </c>
      <c r="O278" s="256">
        <f>SUM(O280:O281)</f>
        <v>291.626</v>
      </c>
      <c r="P278" s="256">
        <f aca="true" t="shared" si="40" ref="P278:S279">H278+L278</f>
        <v>18317.9</v>
      </c>
      <c r="Q278" s="256">
        <f t="shared" si="40"/>
        <v>291.626</v>
      </c>
      <c r="R278" s="256">
        <f t="shared" si="40"/>
        <v>291.626</v>
      </c>
      <c r="S278" s="256">
        <f t="shared" si="40"/>
        <v>291.626</v>
      </c>
      <c r="T278" s="256">
        <v>18317.9</v>
      </c>
      <c r="U278" s="256"/>
      <c r="V278" s="287"/>
    </row>
    <row r="279" spans="1:22" ht="12.75">
      <c r="A279" s="275"/>
      <c r="B279" s="40" t="s">
        <v>27</v>
      </c>
      <c r="C279" s="290"/>
      <c r="D279" s="287"/>
      <c r="E279" s="346"/>
      <c r="F279" s="284"/>
      <c r="G279" s="345"/>
      <c r="H279" s="273"/>
      <c r="I279" s="136"/>
      <c r="J279" s="136"/>
      <c r="K279" s="136"/>
      <c r="L279" s="273"/>
      <c r="M279" s="273"/>
      <c r="N279" s="273"/>
      <c r="O279" s="273"/>
      <c r="P279" s="273">
        <f t="shared" si="40"/>
        <v>0</v>
      </c>
      <c r="Q279" s="273">
        <f t="shared" si="40"/>
        <v>0</v>
      </c>
      <c r="R279" s="273">
        <f t="shared" si="40"/>
        <v>0</v>
      </c>
      <c r="S279" s="273">
        <f t="shared" si="40"/>
        <v>0</v>
      </c>
      <c r="T279" s="273"/>
      <c r="U279" s="273"/>
      <c r="V279" s="287"/>
    </row>
    <row r="280" spans="1:22" s="171" customFormat="1" ht="13.5" hidden="1">
      <c r="A280" s="275"/>
      <c r="B280" s="115" t="s">
        <v>220</v>
      </c>
      <c r="C280" s="290"/>
      <c r="D280" s="287"/>
      <c r="E280" s="346"/>
      <c r="F280" s="284"/>
      <c r="G280" s="170"/>
      <c r="H280" s="118"/>
      <c r="I280" s="118"/>
      <c r="J280" s="118"/>
      <c r="K280" s="118"/>
      <c r="L280" s="118"/>
      <c r="M280" s="117">
        <f>115.456+23.6</f>
        <v>139.056</v>
      </c>
      <c r="N280" s="117">
        <f>34.637+80.819+7.08+16.52</f>
        <v>139.056</v>
      </c>
      <c r="O280" s="117">
        <f>34.637+80.819+7.08+16.52</f>
        <v>139.056</v>
      </c>
      <c r="P280" s="118"/>
      <c r="Q280" s="118"/>
      <c r="R280" s="118"/>
      <c r="S280" s="118"/>
      <c r="T280" s="118"/>
      <c r="U280" s="118"/>
      <c r="V280" s="287"/>
    </row>
    <row r="281" spans="1:22" s="171" customFormat="1" ht="13.5" hidden="1">
      <c r="A281" s="275"/>
      <c r="B281" s="115" t="s">
        <v>238</v>
      </c>
      <c r="C281" s="290"/>
      <c r="D281" s="287"/>
      <c r="E281" s="346"/>
      <c r="F281" s="284"/>
      <c r="G281" s="170"/>
      <c r="H281" s="118"/>
      <c r="I281" s="118"/>
      <c r="J281" s="118"/>
      <c r="K281" s="118"/>
      <c r="L281" s="118"/>
      <c r="M281" s="117">
        <v>152.57</v>
      </c>
      <c r="N281" s="117">
        <f>45.771+30.514+76.285</f>
        <v>152.57</v>
      </c>
      <c r="O281" s="117">
        <f>45.771+30.514+76.285</f>
        <v>152.57</v>
      </c>
      <c r="P281" s="118"/>
      <c r="Q281" s="118"/>
      <c r="R281" s="118"/>
      <c r="S281" s="118"/>
      <c r="T281" s="118"/>
      <c r="U281" s="118"/>
      <c r="V281" s="287"/>
    </row>
    <row r="282" spans="1:22" ht="12.75">
      <c r="A282" s="275"/>
      <c r="B282" s="23" t="s">
        <v>29</v>
      </c>
      <c r="C282" s="290"/>
      <c r="D282" s="287"/>
      <c r="E282" s="346"/>
      <c r="F282" s="284"/>
      <c r="G282" s="152">
        <v>0</v>
      </c>
      <c r="H282" s="136"/>
      <c r="I282" s="136"/>
      <c r="J282" s="136"/>
      <c r="K282" s="136"/>
      <c r="L282" s="152">
        <v>0</v>
      </c>
      <c r="M282" s="136"/>
      <c r="N282" s="136"/>
      <c r="O282" s="136"/>
      <c r="P282" s="152">
        <f>H282+L282</f>
        <v>0</v>
      </c>
      <c r="Q282" s="152">
        <f>I282+M282</f>
        <v>0</v>
      </c>
      <c r="R282" s="152">
        <f>J282+N282</f>
        <v>0</v>
      </c>
      <c r="S282" s="152">
        <f>K282+O282</f>
        <v>0</v>
      </c>
      <c r="T282" s="136"/>
      <c r="U282" s="136"/>
      <c r="V282" s="287"/>
    </row>
    <row r="283" spans="1:22" ht="12.75">
      <c r="A283" s="275"/>
      <c r="B283" s="44" t="s">
        <v>39</v>
      </c>
      <c r="C283" s="290"/>
      <c r="D283" s="287"/>
      <c r="E283" s="346"/>
      <c r="F283" s="284"/>
      <c r="G283" s="153">
        <v>0</v>
      </c>
      <c r="H283" s="136"/>
      <c r="I283" s="136"/>
      <c r="J283" s="136"/>
      <c r="K283" s="136"/>
      <c r="L283" s="153">
        <v>0</v>
      </c>
      <c r="M283" s="136"/>
      <c r="N283" s="136"/>
      <c r="O283" s="136"/>
      <c r="P283" s="153">
        <f aca="true" t="shared" si="41" ref="P283:S289">H283+L283</f>
        <v>0</v>
      </c>
      <c r="Q283" s="153">
        <f t="shared" si="41"/>
        <v>0</v>
      </c>
      <c r="R283" s="153">
        <f t="shared" si="41"/>
        <v>0</v>
      </c>
      <c r="S283" s="153">
        <f t="shared" si="41"/>
        <v>0</v>
      </c>
      <c r="T283" s="136"/>
      <c r="U283" s="136"/>
      <c r="V283" s="287"/>
    </row>
    <row r="284" spans="1:22" ht="12.75">
      <c r="A284" s="275"/>
      <c r="B284" s="23" t="s">
        <v>30</v>
      </c>
      <c r="C284" s="290"/>
      <c r="D284" s="287"/>
      <c r="E284" s="346"/>
      <c r="F284" s="284"/>
      <c r="G284" s="152">
        <v>0</v>
      </c>
      <c r="H284" s="136"/>
      <c r="I284" s="136"/>
      <c r="J284" s="136"/>
      <c r="K284" s="136"/>
      <c r="L284" s="152">
        <v>0</v>
      </c>
      <c r="M284" s="136"/>
      <c r="N284" s="136"/>
      <c r="O284" s="136"/>
      <c r="P284" s="152">
        <f t="shared" si="41"/>
        <v>0</v>
      </c>
      <c r="Q284" s="152">
        <f t="shared" si="41"/>
        <v>0</v>
      </c>
      <c r="R284" s="152">
        <f t="shared" si="41"/>
        <v>0</v>
      </c>
      <c r="S284" s="152">
        <f t="shared" si="41"/>
        <v>0</v>
      </c>
      <c r="T284" s="136"/>
      <c r="U284" s="136"/>
      <c r="V284" s="287"/>
    </row>
    <row r="285" spans="1:22" ht="12.75">
      <c r="A285" s="275"/>
      <c r="B285" s="44" t="s">
        <v>41</v>
      </c>
      <c r="C285" s="357"/>
      <c r="D285" s="346"/>
      <c r="E285" s="346"/>
      <c r="F285" s="346"/>
      <c r="G285" s="153">
        <v>0</v>
      </c>
      <c r="H285" s="140"/>
      <c r="I285" s="140"/>
      <c r="J285" s="140"/>
      <c r="K285" s="140"/>
      <c r="L285" s="153">
        <v>0</v>
      </c>
      <c r="M285" s="140"/>
      <c r="N285" s="140"/>
      <c r="O285" s="140"/>
      <c r="P285" s="153">
        <f t="shared" si="41"/>
        <v>0</v>
      </c>
      <c r="Q285" s="153">
        <f t="shared" si="41"/>
        <v>0</v>
      </c>
      <c r="R285" s="153">
        <f t="shared" si="41"/>
        <v>0</v>
      </c>
      <c r="S285" s="153">
        <f t="shared" si="41"/>
        <v>0</v>
      </c>
      <c r="T285" s="140"/>
      <c r="U285" s="140"/>
      <c r="V285" s="346"/>
    </row>
    <row r="286" spans="1:22" ht="12.75">
      <c r="A286" s="275"/>
      <c r="B286" s="41" t="s">
        <v>32</v>
      </c>
      <c r="C286" s="357"/>
      <c r="D286" s="346"/>
      <c r="E286" s="346"/>
      <c r="F286" s="346"/>
      <c r="G286" s="153">
        <v>0</v>
      </c>
      <c r="H286" s="140"/>
      <c r="I286" s="140"/>
      <c r="J286" s="140"/>
      <c r="K286" s="140"/>
      <c r="L286" s="153">
        <v>0</v>
      </c>
      <c r="M286" s="140"/>
      <c r="N286" s="140"/>
      <c r="O286" s="140"/>
      <c r="P286" s="153">
        <f t="shared" si="41"/>
        <v>0</v>
      </c>
      <c r="Q286" s="153">
        <f t="shared" si="41"/>
        <v>0</v>
      </c>
      <c r="R286" s="153">
        <f t="shared" si="41"/>
        <v>0</v>
      </c>
      <c r="S286" s="153">
        <f t="shared" si="41"/>
        <v>0</v>
      </c>
      <c r="T286" s="140"/>
      <c r="U286" s="140"/>
      <c r="V286" s="346"/>
    </row>
    <row r="287" spans="1:22" ht="12.75">
      <c r="A287" s="275"/>
      <c r="B287" s="41" t="s">
        <v>33</v>
      </c>
      <c r="C287" s="357"/>
      <c r="D287" s="346"/>
      <c r="E287" s="346"/>
      <c r="F287" s="346"/>
      <c r="G287" s="153">
        <v>0</v>
      </c>
      <c r="H287" s="140"/>
      <c r="I287" s="140"/>
      <c r="J287" s="140"/>
      <c r="K287" s="140"/>
      <c r="L287" s="153">
        <v>0</v>
      </c>
      <c r="M287" s="140"/>
      <c r="N287" s="140"/>
      <c r="O287" s="140"/>
      <c r="P287" s="153">
        <f t="shared" si="41"/>
        <v>0</v>
      </c>
      <c r="Q287" s="153">
        <f t="shared" si="41"/>
        <v>0</v>
      </c>
      <c r="R287" s="153">
        <f t="shared" si="41"/>
        <v>0</v>
      </c>
      <c r="S287" s="153">
        <f t="shared" si="41"/>
        <v>0</v>
      </c>
      <c r="T287" s="140"/>
      <c r="U287" s="140"/>
      <c r="V287" s="346"/>
    </row>
    <row r="288" spans="1:22" ht="12.75">
      <c r="A288" s="275"/>
      <c r="B288" s="23" t="s">
        <v>37</v>
      </c>
      <c r="C288" s="357"/>
      <c r="D288" s="346"/>
      <c r="E288" s="346"/>
      <c r="F288" s="346"/>
      <c r="G288" s="152">
        <v>0</v>
      </c>
      <c r="H288" s="140"/>
      <c r="I288" s="140"/>
      <c r="J288" s="140"/>
      <c r="K288" s="140"/>
      <c r="L288" s="152">
        <v>0</v>
      </c>
      <c r="M288" s="140"/>
      <c r="N288" s="140"/>
      <c r="O288" s="140"/>
      <c r="P288" s="152">
        <f t="shared" si="41"/>
        <v>0</v>
      </c>
      <c r="Q288" s="152">
        <f t="shared" si="41"/>
        <v>0</v>
      </c>
      <c r="R288" s="152">
        <f t="shared" si="41"/>
        <v>0</v>
      </c>
      <c r="S288" s="152">
        <f t="shared" si="41"/>
        <v>0</v>
      </c>
      <c r="T288" s="140"/>
      <c r="U288" s="140"/>
      <c r="V288" s="346"/>
    </row>
    <row r="289" spans="1:22" ht="12.75">
      <c r="A289" s="275"/>
      <c r="B289" s="23" t="s">
        <v>38</v>
      </c>
      <c r="C289" s="358"/>
      <c r="D289" s="345"/>
      <c r="E289" s="345"/>
      <c r="F289" s="345"/>
      <c r="G289" s="152">
        <v>0</v>
      </c>
      <c r="H289" s="140"/>
      <c r="I289" s="140"/>
      <c r="J289" s="140"/>
      <c r="K289" s="140"/>
      <c r="L289" s="152">
        <v>0</v>
      </c>
      <c r="M289" s="140"/>
      <c r="N289" s="140"/>
      <c r="O289" s="140"/>
      <c r="P289" s="152">
        <f t="shared" si="41"/>
        <v>0</v>
      </c>
      <c r="Q289" s="152">
        <f t="shared" si="41"/>
        <v>0</v>
      </c>
      <c r="R289" s="152">
        <f t="shared" si="41"/>
        <v>0</v>
      </c>
      <c r="S289" s="152">
        <f t="shared" si="41"/>
        <v>0</v>
      </c>
      <c r="T289" s="140"/>
      <c r="U289" s="140"/>
      <c r="V289" s="345"/>
    </row>
    <row r="290" spans="1:22" ht="18.75" customHeight="1">
      <c r="A290" s="274" t="s">
        <v>91</v>
      </c>
      <c r="B290" s="70" t="s">
        <v>113</v>
      </c>
      <c r="C290" s="289" t="s">
        <v>43</v>
      </c>
      <c r="D290" s="286" t="s">
        <v>121</v>
      </c>
      <c r="E290" s="258"/>
      <c r="F290" s="283" t="s">
        <v>18</v>
      </c>
      <c r="G290" s="25">
        <f>G291+G293+G295+G299+G300</f>
        <v>486.8</v>
      </c>
      <c r="H290" s="25">
        <f>H291+H293+H295+H299+H300</f>
        <v>0</v>
      </c>
      <c r="I290" s="26"/>
      <c r="J290" s="26"/>
      <c r="K290" s="26"/>
      <c r="L290" s="25">
        <f>L291+L293+L295+L299+L300</f>
        <v>486.8</v>
      </c>
      <c r="M290" s="26">
        <v>0</v>
      </c>
      <c r="N290" s="26">
        <v>0</v>
      </c>
      <c r="O290" s="26">
        <v>0</v>
      </c>
      <c r="P290" s="25">
        <f>H290+L290</f>
        <v>486.8</v>
      </c>
      <c r="Q290" s="25">
        <f>I290+M290</f>
        <v>0</v>
      </c>
      <c r="R290" s="25">
        <f>J290+N290</f>
        <v>0</v>
      </c>
      <c r="S290" s="25">
        <f>K290+O290</f>
        <v>0</v>
      </c>
      <c r="T290" s="26"/>
      <c r="U290" s="26"/>
      <c r="V290" s="288"/>
    </row>
    <row r="291" spans="1:22" ht="12.75">
      <c r="A291" s="275"/>
      <c r="B291" s="22" t="s">
        <v>127</v>
      </c>
      <c r="C291" s="290"/>
      <c r="D291" s="287"/>
      <c r="E291" s="346"/>
      <c r="F291" s="284"/>
      <c r="G291" s="256">
        <v>486.8</v>
      </c>
      <c r="H291" s="256"/>
      <c r="I291" s="134"/>
      <c r="J291" s="134"/>
      <c r="K291" s="134"/>
      <c r="L291" s="256">
        <v>486.8</v>
      </c>
      <c r="M291" s="134"/>
      <c r="N291" s="134"/>
      <c r="O291" s="134"/>
      <c r="P291" s="256">
        <f aca="true" t="shared" si="42" ref="P291:S292">H291+L291</f>
        <v>486.8</v>
      </c>
      <c r="Q291" s="256">
        <f t="shared" si="42"/>
        <v>0</v>
      </c>
      <c r="R291" s="256">
        <f t="shared" si="42"/>
        <v>0</v>
      </c>
      <c r="S291" s="256">
        <f t="shared" si="42"/>
        <v>0</v>
      </c>
      <c r="T291" s="256">
        <v>486.8</v>
      </c>
      <c r="U291" s="256"/>
      <c r="V291" s="287"/>
    </row>
    <row r="292" spans="1:22" ht="12.75">
      <c r="A292" s="275"/>
      <c r="B292" s="40" t="s">
        <v>27</v>
      </c>
      <c r="C292" s="290"/>
      <c r="D292" s="287"/>
      <c r="E292" s="346"/>
      <c r="F292" s="284"/>
      <c r="G292" s="273"/>
      <c r="H292" s="273"/>
      <c r="I292" s="136"/>
      <c r="J292" s="136"/>
      <c r="K292" s="136"/>
      <c r="L292" s="273"/>
      <c r="M292" s="136"/>
      <c r="N292" s="136"/>
      <c r="O292" s="136"/>
      <c r="P292" s="273">
        <f t="shared" si="42"/>
        <v>0</v>
      </c>
      <c r="Q292" s="273">
        <f t="shared" si="42"/>
        <v>0</v>
      </c>
      <c r="R292" s="273">
        <f t="shared" si="42"/>
        <v>0</v>
      </c>
      <c r="S292" s="273">
        <f t="shared" si="42"/>
        <v>0</v>
      </c>
      <c r="T292" s="273"/>
      <c r="U292" s="273"/>
      <c r="V292" s="287"/>
    </row>
    <row r="293" spans="1:22" ht="12.75">
      <c r="A293" s="275"/>
      <c r="B293" s="23" t="s">
        <v>29</v>
      </c>
      <c r="C293" s="290"/>
      <c r="D293" s="287"/>
      <c r="E293" s="346"/>
      <c r="F293" s="284"/>
      <c r="G293" s="152">
        <v>0</v>
      </c>
      <c r="H293" s="136"/>
      <c r="I293" s="136"/>
      <c r="J293" s="136"/>
      <c r="K293" s="136"/>
      <c r="L293" s="152">
        <v>0</v>
      </c>
      <c r="M293" s="136"/>
      <c r="N293" s="136"/>
      <c r="O293" s="136"/>
      <c r="P293" s="152">
        <f>H293+L293</f>
        <v>0</v>
      </c>
      <c r="Q293" s="152">
        <f>I293+M293</f>
        <v>0</v>
      </c>
      <c r="R293" s="152">
        <f>J293+N293</f>
        <v>0</v>
      </c>
      <c r="S293" s="152">
        <f>K293+O293</f>
        <v>0</v>
      </c>
      <c r="T293" s="136"/>
      <c r="U293" s="136"/>
      <c r="V293" s="287"/>
    </row>
    <row r="294" spans="1:22" ht="12.75">
      <c r="A294" s="275"/>
      <c r="B294" s="44" t="s">
        <v>39</v>
      </c>
      <c r="C294" s="290"/>
      <c r="D294" s="287"/>
      <c r="E294" s="346"/>
      <c r="F294" s="284"/>
      <c r="G294" s="153">
        <v>0</v>
      </c>
      <c r="H294" s="136"/>
      <c r="I294" s="136"/>
      <c r="J294" s="136"/>
      <c r="K294" s="136"/>
      <c r="L294" s="153">
        <v>0</v>
      </c>
      <c r="M294" s="136"/>
      <c r="N294" s="136"/>
      <c r="O294" s="136"/>
      <c r="P294" s="153">
        <f aca="true" t="shared" si="43" ref="P294:S300">H294+L294</f>
        <v>0</v>
      </c>
      <c r="Q294" s="153">
        <f t="shared" si="43"/>
        <v>0</v>
      </c>
      <c r="R294" s="153">
        <f t="shared" si="43"/>
        <v>0</v>
      </c>
      <c r="S294" s="153">
        <f t="shared" si="43"/>
        <v>0</v>
      </c>
      <c r="T294" s="136"/>
      <c r="U294" s="136"/>
      <c r="V294" s="287"/>
    </row>
    <row r="295" spans="1:22" ht="12.75">
      <c r="A295" s="275"/>
      <c r="B295" s="23" t="s">
        <v>30</v>
      </c>
      <c r="C295" s="290"/>
      <c r="D295" s="287"/>
      <c r="E295" s="346"/>
      <c r="F295" s="284"/>
      <c r="G295" s="152">
        <v>0</v>
      </c>
      <c r="H295" s="136"/>
      <c r="I295" s="136"/>
      <c r="J295" s="136"/>
      <c r="K295" s="136"/>
      <c r="L295" s="152">
        <v>0</v>
      </c>
      <c r="M295" s="136"/>
      <c r="N295" s="136"/>
      <c r="O295" s="136"/>
      <c r="P295" s="152">
        <f t="shared" si="43"/>
        <v>0</v>
      </c>
      <c r="Q295" s="152">
        <f t="shared" si="43"/>
        <v>0</v>
      </c>
      <c r="R295" s="152">
        <f t="shared" si="43"/>
        <v>0</v>
      </c>
      <c r="S295" s="152">
        <f t="shared" si="43"/>
        <v>0</v>
      </c>
      <c r="T295" s="136"/>
      <c r="U295" s="136"/>
      <c r="V295" s="287"/>
    </row>
    <row r="296" spans="1:22" ht="12.75">
      <c r="A296" s="275"/>
      <c r="B296" s="44" t="s">
        <v>41</v>
      </c>
      <c r="C296" s="357"/>
      <c r="D296" s="346"/>
      <c r="E296" s="346"/>
      <c r="F296" s="346"/>
      <c r="G296" s="153">
        <v>0</v>
      </c>
      <c r="H296" s="140"/>
      <c r="I296" s="140"/>
      <c r="J296" s="140"/>
      <c r="K296" s="140"/>
      <c r="L296" s="153">
        <v>0</v>
      </c>
      <c r="M296" s="140"/>
      <c r="N296" s="140"/>
      <c r="O296" s="140"/>
      <c r="P296" s="153">
        <f t="shared" si="43"/>
        <v>0</v>
      </c>
      <c r="Q296" s="153">
        <f t="shared" si="43"/>
        <v>0</v>
      </c>
      <c r="R296" s="153">
        <f t="shared" si="43"/>
        <v>0</v>
      </c>
      <c r="S296" s="153">
        <f t="shared" si="43"/>
        <v>0</v>
      </c>
      <c r="T296" s="140"/>
      <c r="U296" s="140"/>
      <c r="V296" s="346"/>
    </row>
    <row r="297" spans="1:22" ht="12.75">
      <c r="A297" s="275"/>
      <c r="B297" s="41" t="s">
        <v>32</v>
      </c>
      <c r="C297" s="357"/>
      <c r="D297" s="346"/>
      <c r="E297" s="346"/>
      <c r="F297" s="346"/>
      <c r="G297" s="153">
        <v>0</v>
      </c>
      <c r="H297" s="140"/>
      <c r="I297" s="140"/>
      <c r="J297" s="140"/>
      <c r="K297" s="140"/>
      <c r="L297" s="153">
        <v>0</v>
      </c>
      <c r="M297" s="140"/>
      <c r="N297" s="140"/>
      <c r="O297" s="140"/>
      <c r="P297" s="153">
        <f t="shared" si="43"/>
        <v>0</v>
      </c>
      <c r="Q297" s="153">
        <f t="shared" si="43"/>
        <v>0</v>
      </c>
      <c r="R297" s="153">
        <f t="shared" si="43"/>
        <v>0</v>
      </c>
      <c r="S297" s="153">
        <f t="shared" si="43"/>
        <v>0</v>
      </c>
      <c r="T297" s="140"/>
      <c r="U297" s="140"/>
      <c r="V297" s="346"/>
    </row>
    <row r="298" spans="1:22" ht="12.75">
      <c r="A298" s="275"/>
      <c r="B298" s="41" t="s">
        <v>33</v>
      </c>
      <c r="C298" s="357"/>
      <c r="D298" s="346"/>
      <c r="E298" s="346"/>
      <c r="F298" s="346"/>
      <c r="G298" s="153">
        <v>0</v>
      </c>
      <c r="H298" s="140"/>
      <c r="I298" s="140"/>
      <c r="J298" s="140"/>
      <c r="K298" s="140"/>
      <c r="L298" s="153">
        <v>0</v>
      </c>
      <c r="M298" s="140"/>
      <c r="N298" s="140"/>
      <c r="O298" s="140"/>
      <c r="P298" s="153">
        <f t="shared" si="43"/>
        <v>0</v>
      </c>
      <c r="Q298" s="153">
        <f t="shared" si="43"/>
        <v>0</v>
      </c>
      <c r="R298" s="153">
        <f t="shared" si="43"/>
        <v>0</v>
      </c>
      <c r="S298" s="153">
        <f t="shared" si="43"/>
        <v>0</v>
      </c>
      <c r="T298" s="140"/>
      <c r="U298" s="140"/>
      <c r="V298" s="346"/>
    </row>
    <row r="299" spans="1:22" ht="12.75">
      <c r="A299" s="275"/>
      <c r="B299" s="23" t="s">
        <v>37</v>
      </c>
      <c r="C299" s="357"/>
      <c r="D299" s="346"/>
      <c r="E299" s="346"/>
      <c r="F299" s="346"/>
      <c r="G299" s="152">
        <v>0</v>
      </c>
      <c r="H299" s="140"/>
      <c r="I299" s="140"/>
      <c r="J299" s="140"/>
      <c r="K299" s="140"/>
      <c r="L299" s="152">
        <v>0</v>
      </c>
      <c r="M299" s="140"/>
      <c r="N299" s="140"/>
      <c r="O299" s="140"/>
      <c r="P299" s="152">
        <f t="shared" si="43"/>
        <v>0</v>
      </c>
      <c r="Q299" s="152">
        <f t="shared" si="43"/>
        <v>0</v>
      </c>
      <c r="R299" s="152">
        <f t="shared" si="43"/>
        <v>0</v>
      </c>
      <c r="S299" s="152">
        <f t="shared" si="43"/>
        <v>0</v>
      </c>
      <c r="T299" s="140"/>
      <c r="U299" s="140"/>
      <c r="V299" s="346"/>
    </row>
    <row r="300" spans="1:22" ht="12.75">
      <c r="A300" s="275"/>
      <c r="B300" s="23" t="s">
        <v>38</v>
      </c>
      <c r="C300" s="358"/>
      <c r="D300" s="345"/>
      <c r="E300" s="345"/>
      <c r="F300" s="345"/>
      <c r="G300" s="152">
        <v>0</v>
      </c>
      <c r="H300" s="140"/>
      <c r="I300" s="140"/>
      <c r="J300" s="140"/>
      <c r="K300" s="140"/>
      <c r="L300" s="152">
        <v>0</v>
      </c>
      <c r="M300" s="140"/>
      <c r="N300" s="140"/>
      <c r="O300" s="140"/>
      <c r="P300" s="152">
        <f t="shared" si="43"/>
        <v>0</v>
      </c>
      <c r="Q300" s="152">
        <f t="shared" si="43"/>
        <v>0</v>
      </c>
      <c r="R300" s="152">
        <f t="shared" si="43"/>
        <v>0</v>
      </c>
      <c r="S300" s="152">
        <f t="shared" si="43"/>
        <v>0</v>
      </c>
      <c r="T300" s="140"/>
      <c r="U300" s="140"/>
      <c r="V300" s="345"/>
    </row>
    <row r="301" spans="1:22" ht="14.25" customHeight="1">
      <c r="A301" s="274" t="s">
        <v>77</v>
      </c>
      <c r="B301" s="16" t="s">
        <v>138</v>
      </c>
      <c r="C301" s="289" t="s">
        <v>43</v>
      </c>
      <c r="D301" s="286" t="s">
        <v>8</v>
      </c>
      <c r="E301" s="258">
        <v>1.2</v>
      </c>
      <c r="F301" s="283" t="s">
        <v>18</v>
      </c>
      <c r="G301" s="25">
        <f>G302+G305+G307+G311+G312</f>
        <v>5232</v>
      </c>
      <c r="H301" s="25">
        <f>H302+H305+H307+H311+H312</f>
        <v>0</v>
      </c>
      <c r="I301" s="25">
        <f>I302+I305+I307+I311+I312</f>
        <v>0</v>
      </c>
      <c r="J301" s="25">
        <f>J302+J305+J307+J311+J312</f>
        <v>1199.922</v>
      </c>
      <c r="K301" s="25">
        <f>K302+K305+K307+K311+K312</f>
        <v>1199.922</v>
      </c>
      <c r="L301" s="25">
        <f>L302+L305+L307+L311+L312</f>
        <v>5232</v>
      </c>
      <c r="M301" s="25">
        <f>M302+M305+M307+M311+M312</f>
        <v>2159.86</v>
      </c>
      <c r="N301" s="25">
        <f>N302+N305+N307+N311+N312</f>
        <v>959.938</v>
      </c>
      <c r="O301" s="25">
        <f>O302+O305+O307+O311+O312</f>
        <v>959.938</v>
      </c>
      <c r="P301" s="25">
        <f>H301+L301</f>
        <v>5232</v>
      </c>
      <c r="Q301" s="25">
        <v>0</v>
      </c>
      <c r="R301" s="25">
        <f>J301+N301</f>
        <v>2159.86</v>
      </c>
      <c r="S301" s="25">
        <f>K301+O301</f>
        <v>2159.86</v>
      </c>
      <c r="T301" s="26"/>
      <c r="U301" s="26"/>
      <c r="V301" s="288"/>
    </row>
    <row r="302" spans="1:22" ht="15.75" customHeight="1">
      <c r="A302" s="275"/>
      <c r="B302" s="22" t="s">
        <v>127</v>
      </c>
      <c r="C302" s="290"/>
      <c r="D302" s="287"/>
      <c r="E302" s="346"/>
      <c r="F302" s="284"/>
      <c r="G302" s="256">
        <v>5232</v>
      </c>
      <c r="H302" s="256"/>
      <c r="I302" s="256">
        <f>SUM(I304)</f>
        <v>0</v>
      </c>
      <c r="J302" s="256">
        <f>SUM(J304)</f>
        <v>1199.922</v>
      </c>
      <c r="K302" s="256">
        <f>SUM(K304)</f>
        <v>1199.922</v>
      </c>
      <c r="L302" s="256">
        <v>5232</v>
      </c>
      <c r="M302" s="256">
        <f>SUM(M304:M307)</f>
        <v>2159.86</v>
      </c>
      <c r="N302" s="256">
        <f>SUM(N304:N307)</f>
        <v>959.938</v>
      </c>
      <c r="O302" s="256">
        <f>SUM(O304:O307)</f>
        <v>959.938</v>
      </c>
      <c r="P302" s="256">
        <f aca="true" t="shared" si="44" ref="P302:S303">H302+L302</f>
        <v>5232</v>
      </c>
      <c r="Q302" s="256">
        <f t="shared" si="44"/>
        <v>2159.86</v>
      </c>
      <c r="R302" s="256">
        <f t="shared" si="44"/>
        <v>2159.86</v>
      </c>
      <c r="S302" s="256">
        <f t="shared" si="44"/>
        <v>2159.86</v>
      </c>
      <c r="T302" s="256">
        <v>5232</v>
      </c>
      <c r="U302" s="256"/>
      <c r="V302" s="287"/>
    </row>
    <row r="303" spans="1:22" ht="12" customHeight="1">
      <c r="A303" s="275"/>
      <c r="B303" s="40" t="s">
        <v>27</v>
      </c>
      <c r="C303" s="290"/>
      <c r="D303" s="287"/>
      <c r="E303" s="346"/>
      <c r="F303" s="284"/>
      <c r="G303" s="345"/>
      <c r="H303" s="273"/>
      <c r="I303" s="273"/>
      <c r="J303" s="273"/>
      <c r="K303" s="273"/>
      <c r="L303" s="273"/>
      <c r="M303" s="273"/>
      <c r="N303" s="273"/>
      <c r="O303" s="273"/>
      <c r="P303" s="273">
        <f t="shared" si="44"/>
        <v>0</v>
      </c>
      <c r="Q303" s="273">
        <f t="shared" si="44"/>
        <v>0</v>
      </c>
      <c r="R303" s="273">
        <f t="shared" si="44"/>
        <v>0</v>
      </c>
      <c r="S303" s="273">
        <f t="shared" si="44"/>
        <v>0</v>
      </c>
      <c r="T303" s="273"/>
      <c r="U303" s="273"/>
      <c r="V303" s="287"/>
    </row>
    <row r="304" spans="1:22" ht="15.75" customHeight="1" hidden="1">
      <c r="A304" s="275"/>
      <c r="B304" s="115" t="s">
        <v>169</v>
      </c>
      <c r="C304" s="290"/>
      <c r="D304" s="287"/>
      <c r="E304" s="346"/>
      <c r="F304" s="284"/>
      <c r="G304" s="105"/>
      <c r="H304" s="136"/>
      <c r="I304" s="117"/>
      <c r="J304" s="117">
        <v>1199.922</v>
      </c>
      <c r="K304" s="117">
        <v>1199.922</v>
      </c>
      <c r="L304" s="117"/>
      <c r="M304" s="117">
        <v>2159.86</v>
      </c>
      <c r="N304" s="117">
        <v>959.938</v>
      </c>
      <c r="O304" s="117">
        <v>959.938</v>
      </c>
      <c r="P304" s="152">
        <f>H304+L304</f>
        <v>0</v>
      </c>
      <c r="Q304" s="152">
        <f>I304+M304</f>
        <v>2159.86</v>
      </c>
      <c r="R304" s="152">
        <f>J304+N304</f>
        <v>2159.86</v>
      </c>
      <c r="S304" s="152">
        <f>K304+O304</f>
        <v>2159.86</v>
      </c>
      <c r="T304" s="136"/>
      <c r="U304" s="136"/>
      <c r="V304" s="287"/>
    </row>
    <row r="305" spans="1:22" ht="12.75">
      <c r="A305" s="275"/>
      <c r="B305" s="23" t="s">
        <v>29</v>
      </c>
      <c r="C305" s="290"/>
      <c r="D305" s="287"/>
      <c r="E305" s="346"/>
      <c r="F305" s="284"/>
      <c r="G305" s="152">
        <v>0</v>
      </c>
      <c r="H305" s="136"/>
      <c r="I305" s="136"/>
      <c r="J305" s="136"/>
      <c r="K305" s="136"/>
      <c r="L305" s="152">
        <v>0</v>
      </c>
      <c r="M305" s="136"/>
      <c r="N305" s="136"/>
      <c r="O305" s="136"/>
      <c r="P305" s="153">
        <f aca="true" t="shared" si="45" ref="P305:S312">H305+L305</f>
        <v>0</v>
      </c>
      <c r="Q305" s="153">
        <f t="shared" si="45"/>
        <v>0</v>
      </c>
      <c r="R305" s="153">
        <f t="shared" si="45"/>
        <v>0</v>
      </c>
      <c r="S305" s="153">
        <f t="shared" si="45"/>
        <v>0</v>
      </c>
      <c r="T305" s="136"/>
      <c r="U305" s="136"/>
      <c r="V305" s="287"/>
    </row>
    <row r="306" spans="1:22" ht="12.75">
      <c r="A306" s="275"/>
      <c r="B306" s="44" t="s">
        <v>39</v>
      </c>
      <c r="C306" s="290"/>
      <c r="D306" s="287"/>
      <c r="E306" s="346"/>
      <c r="F306" s="284"/>
      <c r="G306" s="153">
        <v>0</v>
      </c>
      <c r="H306" s="136"/>
      <c r="I306" s="136"/>
      <c r="J306" s="136"/>
      <c r="K306" s="136"/>
      <c r="L306" s="153">
        <v>0</v>
      </c>
      <c r="M306" s="136"/>
      <c r="N306" s="136"/>
      <c r="O306" s="136"/>
      <c r="P306" s="152">
        <f t="shared" si="45"/>
        <v>0</v>
      </c>
      <c r="Q306" s="152">
        <f t="shared" si="45"/>
        <v>0</v>
      </c>
      <c r="R306" s="152">
        <f t="shared" si="45"/>
        <v>0</v>
      </c>
      <c r="S306" s="152">
        <f t="shared" si="45"/>
        <v>0</v>
      </c>
      <c r="T306" s="136"/>
      <c r="U306" s="136"/>
      <c r="V306" s="287"/>
    </row>
    <row r="307" spans="1:22" ht="12.75">
      <c r="A307" s="275"/>
      <c r="B307" s="23" t="s">
        <v>30</v>
      </c>
      <c r="C307" s="290"/>
      <c r="D307" s="287"/>
      <c r="E307" s="346"/>
      <c r="F307" s="284"/>
      <c r="G307" s="152">
        <v>0</v>
      </c>
      <c r="H307" s="136"/>
      <c r="I307" s="136"/>
      <c r="J307" s="136"/>
      <c r="K307" s="136"/>
      <c r="L307" s="152">
        <v>0</v>
      </c>
      <c r="M307" s="136"/>
      <c r="N307" s="136"/>
      <c r="O307" s="136"/>
      <c r="P307" s="153">
        <f t="shared" si="45"/>
        <v>0</v>
      </c>
      <c r="Q307" s="153">
        <f t="shared" si="45"/>
        <v>0</v>
      </c>
      <c r="R307" s="153">
        <f t="shared" si="45"/>
        <v>0</v>
      </c>
      <c r="S307" s="153">
        <f t="shared" si="45"/>
        <v>0</v>
      </c>
      <c r="T307" s="136"/>
      <c r="U307" s="136"/>
      <c r="V307" s="287"/>
    </row>
    <row r="308" spans="1:22" ht="12.75">
      <c r="A308" s="275"/>
      <c r="B308" s="44" t="s">
        <v>41</v>
      </c>
      <c r="C308" s="357"/>
      <c r="D308" s="346"/>
      <c r="E308" s="346"/>
      <c r="F308" s="346"/>
      <c r="G308" s="153">
        <v>0</v>
      </c>
      <c r="H308" s="140"/>
      <c r="I308" s="140"/>
      <c r="J308" s="140"/>
      <c r="K308" s="140"/>
      <c r="L308" s="153">
        <v>0</v>
      </c>
      <c r="M308" s="140"/>
      <c r="N308" s="140"/>
      <c r="O308" s="140"/>
      <c r="P308" s="153">
        <f t="shared" si="45"/>
        <v>0</v>
      </c>
      <c r="Q308" s="153">
        <f t="shared" si="45"/>
        <v>0</v>
      </c>
      <c r="R308" s="153">
        <f t="shared" si="45"/>
        <v>0</v>
      </c>
      <c r="S308" s="153">
        <f t="shared" si="45"/>
        <v>0</v>
      </c>
      <c r="T308" s="140"/>
      <c r="U308" s="140"/>
      <c r="V308" s="346"/>
    </row>
    <row r="309" spans="1:22" ht="12.75">
      <c r="A309" s="275"/>
      <c r="B309" s="41" t="s">
        <v>32</v>
      </c>
      <c r="C309" s="357"/>
      <c r="D309" s="346"/>
      <c r="E309" s="346"/>
      <c r="F309" s="346"/>
      <c r="G309" s="153">
        <v>0</v>
      </c>
      <c r="H309" s="140"/>
      <c r="I309" s="140"/>
      <c r="J309" s="140"/>
      <c r="K309" s="140"/>
      <c r="L309" s="153">
        <v>0</v>
      </c>
      <c r="M309" s="140"/>
      <c r="N309" s="140"/>
      <c r="O309" s="140"/>
      <c r="P309" s="153">
        <f t="shared" si="45"/>
        <v>0</v>
      </c>
      <c r="Q309" s="153">
        <f t="shared" si="45"/>
        <v>0</v>
      </c>
      <c r="R309" s="153">
        <f t="shared" si="45"/>
        <v>0</v>
      </c>
      <c r="S309" s="153">
        <f t="shared" si="45"/>
        <v>0</v>
      </c>
      <c r="T309" s="140"/>
      <c r="U309" s="140"/>
      <c r="V309" s="346"/>
    </row>
    <row r="310" spans="1:22" ht="12.75">
      <c r="A310" s="275"/>
      <c r="B310" s="41" t="s">
        <v>33</v>
      </c>
      <c r="C310" s="357"/>
      <c r="D310" s="346"/>
      <c r="E310" s="346"/>
      <c r="F310" s="346"/>
      <c r="G310" s="153">
        <v>0</v>
      </c>
      <c r="H310" s="140"/>
      <c r="I310" s="140"/>
      <c r="J310" s="140"/>
      <c r="K310" s="140"/>
      <c r="L310" s="153">
        <v>0</v>
      </c>
      <c r="M310" s="140"/>
      <c r="N310" s="140"/>
      <c r="O310" s="140"/>
      <c r="P310" s="152">
        <f t="shared" si="45"/>
        <v>0</v>
      </c>
      <c r="Q310" s="152">
        <f t="shared" si="45"/>
        <v>0</v>
      </c>
      <c r="R310" s="152">
        <f t="shared" si="45"/>
        <v>0</v>
      </c>
      <c r="S310" s="152">
        <f t="shared" si="45"/>
        <v>0</v>
      </c>
      <c r="T310" s="140"/>
      <c r="U310" s="140"/>
      <c r="V310" s="346"/>
    </row>
    <row r="311" spans="1:22" ht="12.75">
      <c r="A311" s="275"/>
      <c r="B311" s="23" t="s">
        <v>37</v>
      </c>
      <c r="C311" s="357"/>
      <c r="D311" s="346"/>
      <c r="E311" s="346"/>
      <c r="F311" s="346"/>
      <c r="G311" s="152">
        <v>0</v>
      </c>
      <c r="H311" s="140"/>
      <c r="I311" s="140"/>
      <c r="J311" s="140"/>
      <c r="K311" s="140"/>
      <c r="L311" s="152">
        <v>0</v>
      </c>
      <c r="M311" s="140"/>
      <c r="N311" s="140"/>
      <c r="O311" s="140"/>
      <c r="P311" s="152">
        <f t="shared" si="45"/>
        <v>0</v>
      </c>
      <c r="Q311" s="152">
        <f t="shared" si="45"/>
        <v>0</v>
      </c>
      <c r="R311" s="152">
        <f t="shared" si="45"/>
        <v>0</v>
      </c>
      <c r="S311" s="152">
        <f t="shared" si="45"/>
        <v>0</v>
      </c>
      <c r="T311" s="140"/>
      <c r="U311" s="140"/>
      <c r="V311" s="346"/>
    </row>
    <row r="312" spans="1:22" ht="12.75">
      <c r="A312" s="275"/>
      <c r="B312" s="23" t="s">
        <v>38</v>
      </c>
      <c r="C312" s="358"/>
      <c r="D312" s="345"/>
      <c r="E312" s="345"/>
      <c r="F312" s="345"/>
      <c r="G312" s="152">
        <v>0</v>
      </c>
      <c r="H312" s="140"/>
      <c r="I312" s="140"/>
      <c r="J312" s="140"/>
      <c r="K312" s="140"/>
      <c r="L312" s="152">
        <v>0</v>
      </c>
      <c r="M312" s="140"/>
      <c r="N312" s="140"/>
      <c r="O312" s="140"/>
      <c r="P312" s="152">
        <f t="shared" si="45"/>
        <v>0</v>
      </c>
      <c r="Q312" s="152">
        <f t="shared" si="45"/>
        <v>0</v>
      </c>
      <c r="R312" s="152">
        <f t="shared" si="45"/>
        <v>0</v>
      </c>
      <c r="S312" s="152">
        <f t="shared" si="45"/>
        <v>0</v>
      </c>
      <c r="T312" s="140"/>
      <c r="U312" s="140"/>
      <c r="V312" s="345"/>
    </row>
    <row r="313" spans="1:22" ht="12.75" customHeight="1" hidden="1">
      <c r="A313" s="274"/>
      <c r="B313" s="69"/>
      <c r="C313" s="378" t="s">
        <v>58</v>
      </c>
      <c r="D313" s="380" t="s">
        <v>10</v>
      </c>
      <c r="E313" s="383">
        <v>3.57</v>
      </c>
      <c r="F313" s="382" t="s">
        <v>18</v>
      </c>
      <c r="G313" s="25">
        <f>G314+G316+G318+G322+G323</f>
        <v>0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88"/>
    </row>
    <row r="314" spans="1:22" ht="12.75" customHeight="1" hidden="1">
      <c r="A314" s="275"/>
      <c r="B314" s="22" t="s">
        <v>127</v>
      </c>
      <c r="C314" s="378"/>
      <c r="D314" s="381"/>
      <c r="E314" s="377"/>
      <c r="F314" s="382"/>
      <c r="G314" s="376">
        <f>SUM(H314:U314)</f>
        <v>0</v>
      </c>
      <c r="H314" s="376"/>
      <c r="I314" s="140"/>
      <c r="J314" s="140"/>
      <c r="K314" s="140"/>
      <c r="L314" s="140"/>
      <c r="M314" s="140"/>
      <c r="N314" s="140"/>
      <c r="O314" s="140"/>
      <c r="P314" s="140"/>
      <c r="Q314" s="152"/>
      <c r="R314" s="152"/>
      <c r="S314" s="152"/>
      <c r="T314" s="376"/>
      <c r="U314" s="376"/>
      <c r="V314" s="287"/>
    </row>
    <row r="315" spans="1:22" ht="12.75" customHeight="1" hidden="1">
      <c r="A315" s="275"/>
      <c r="B315" s="40" t="s">
        <v>27</v>
      </c>
      <c r="C315" s="378"/>
      <c r="D315" s="381"/>
      <c r="E315" s="377"/>
      <c r="F315" s="382"/>
      <c r="G315" s="377"/>
      <c r="H315" s="376"/>
      <c r="I315" s="140"/>
      <c r="J315" s="140"/>
      <c r="K315" s="140"/>
      <c r="L315" s="140"/>
      <c r="M315" s="140"/>
      <c r="N315" s="140"/>
      <c r="O315" s="140"/>
      <c r="P315" s="140"/>
      <c r="Q315" s="152"/>
      <c r="R315" s="152"/>
      <c r="S315" s="152"/>
      <c r="T315" s="376"/>
      <c r="U315" s="376"/>
      <c r="V315" s="287"/>
    </row>
    <row r="316" spans="1:22" ht="12.75" customHeight="1" hidden="1">
      <c r="A316" s="275"/>
      <c r="B316" s="23" t="s">
        <v>29</v>
      </c>
      <c r="C316" s="378"/>
      <c r="D316" s="381"/>
      <c r="E316" s="377"/>
      <c r="F316" s="382"/>
      <c r="G316" s="140">
        <f>SUM(G317)</f>
        <v>0</v>
      </c>
      <c r="H316" s="140"/>
      <c r="I316" s="140"/>
      <c r="J316" s="140"/>
      <c r="K316" s="140"/>
      <c r="L316" s="140"/>
      <c r="M316" s="140"/>
      <c r="N316" s="140"/>
      <c r="O316" s="140"/>
      <c r="P316" s="140"/>
      <c r="Q316" s="152"/>
      <c r="R316" s="152"/>
      <c r="S316" s="152"/>
      <c r="T316" s="140"/>
      <c r="U316" s="140"/>
      <c r="V316" s="287"/>
    </row>
    <row r="317" spans="1:22" ht="12.75" customHeight="1" hidden="1">
      <c r="A317" s="275"/>
      <c r="B317" s="44" t="s">
        <v>39</v>
      </c>
      <c r="C317" s="378"/>
      <c r="D317" s="381"/>
      <c r="E317" s="377"/>
      <c r="F317" s="382"/>
      <c r="G317" s="139">
        <f>SUM(H317:U317)</f>
        <v>0</v>
      </c>
      <c r="H317" s="140"/>
      <c r="I317" s="140"/>
      <c r="J317" s="140"/>
      <c r="K317" s="140"/>
      <c r="L317" s="140"/>
      <c r="M317" s="140"/>
      <c r="N317" s="140"/>
      <c r="O317" s="140"/>
      <c r="P317" s="140"/>
      <c r="Q317" s="152"/>
      <c r="R317" s="152"/>
      <c r="S317" s="152"/>
      <c r="T317" s="140"/>
      <c r="U317" s="140"/>
      <c r="V317" s="287"/>
    </row>
    <row r="318" spans="1:22" ht="12.75" customHeight="1" hidden="1">
      <c r="A318" s="275"/>
      <c r="B318" s="23" t="s">
        <v>30</v>
      </c>
      <c r="C318" s="378"/>
      <c r="D318" s="381"/>
      <c r="E318" s="377"/>
      <c r="F318" s="382"/>
      <c r="G318" s="140">
        <f>SUM(G319:G321)</f>
        <v>0</v>
      </c>
      <c r="H318" s="140"/>
      <c r="I318" s="140"/>
      <c r="J318" s="140"/>
      <c r="K318" s="140"/>
      <c r="L318" s="140"/>
      <c r="M318" s="140"/>
      <c r="N318" s="140"/>
      <c r="O318" s="140"/>
      <c r="P318" s="140"/>
      <c r="Q318" s="152"/>
      <c r="R318" s="152"/>
      <c r="S318" s="152"/>
      <c r="T318" s="140"/>
      <c r="U318" s="140"/>
      <c r="V318" s="287"/>
    </row>
    <row r="319" spans="1:22" ht="12.75" customHeight="1" hidden="1">
      <c r="A319" s="275"/>
      <c r="B319" s="44" t="s">
        <v>41</v>
      </c>
      <c r="C319" s="379"/>
      <c r="D319" s="377"/>
      <c r="E319" s="377"/>
      <c r="F319" s="377"/>
      <c r="G319" s="139">
        <f>SUM(H319:U319)</f>
        <v>0</v>
      </c>
      <c r="H319" s="140"/>
      <c r="I319" s="140"/>
      <c r="J319" s="140"/>
      <c r="K319" s="140"/>
      <c r="L319" s="140"/>
      <c r="M319" s="140"/>
      <c r="N319" s="140"/>
      <c r="O319" s="140"/>
      <c r="P319" s="140"/>
      <c r="Q319" s="152"/>
      <c r="R319" s="152"/>
      <c r="S319" s="152"/>
      <c r="T319" s="140"/>
      <c r="U319" s="140"/>
      <c r="V319" s="346"/>
    </row>
    <row r="320" spans="1:22" ht="12.75" customHeight="1" hidden="1">
      <c r="A320" s="275"/>
      <c r="B320" s="41" t="s">
        <v>32</v>
      </c>
      <c r="C320" s="379"/>
      <c r="D320" s="377"/>
      <c r="E320" s="377"/>
      <c r="F320" s="377"/>
      <c r="G320" s="139">
        <f>SUM(H320:U320)</f>
        <v>0</v>
      </c>
      <c r="H320" s="140"/>
      <c r="I320" s="140"/>
      <c r="J320" s="140"/>
      <c r="K320" s="140"/>
      <c r="L320" s="140"/>
      <c r="M320" s="140"/>
      <c r="N320" s="140"/>
      <c r="O320" s="140"/>
      <c r="P320" s="140"/>
      <c r="Q320" s="152"/>
      <c r="R320" s="152"/>
      <c r="S320" s="152"/>
      <c r="T320" s="140"/>
      <c r="U320" s="140"/>
      <c r="V320" s="346"/>
    </row>
    <row r="321" spans="1:22" ht="12.75" customHeight="1" hidden="1">
      <c r="A321" s="275"/>
      <c r="B321" s="41" t="s">
        <v>33</v>
      </c>
      <c r="C321" s="379"/>
      <c r="D321" s="377"/>
      <c r="E321" s="377"/>
      <c r="F321" s="377"/>
      <c r="G321" s="139">
        <f>SUM(H321:U321)</f>
        <v>0</v>
      </c>
      <c r="H321" s="140"/>
      <c r="I321" s="140"/>
      <c r="J321" s="140"/>
      <c r="K321" s="140"/>
      <c r="L321" s="140"/>
      <c r="M321" s="140"/>
      <c r="N321" s="140"/>
      <c r="O321" s="140"/>
      <c r="P321" s="140"/>
      <c r="Q321" s="152"/>
      <c r="R321" s="152"/>
      <c r="S321" s="152"/>
      <c r="T321" s="140"/>
      <c r="U321" s="140"/>
      <c r="V321" s="346"/>
    </row>
    <row r="322" spans="1:22" ht="12.75" customHeight="1" hidden="1">
      <c r="A322" s="275"/>
      <c r="B322" s="23" t="s">
        <v>37</v>
      </c>
      <c r="C322" s="379"/>
      <c r="D322" s="377"/>
      <c r="E322" s="377"/>
      <c r="F322" s="377"/>
      <c r="G322" s="140">
        <f>SUM(H322:U322)</f>
        <v>0</v>
      </c>
      <c r="H322" s="140"/>
      <c r="I322" s="140"/>
      <c r="J322" s="140"/>
      <c r="K322" s="140"/>
      <c r="L322" s="140"/>
      <c r="M322" s="140"/>
      <c r="N322" s="140"/>
      <c r="O322" s="140"/>
      <c r="P322" s="140"/>
      <c r="Q322" s="152"/>
      <c r="R322" s="152"/>
      <c r="S322" s="152"/>
      <c r="T322" s="140"/>
      <c r="U322" s="140"/>
      <c r="V322" s="346"/>
    </row>
    <row r="323" spans="1:22" ht="13.5" customHeight="1" hidden="1">
      <c r="A323" s="275"/>
      <c r="B323" s="23" t="s">
        <v>38</v>
      </c>
      <c r="C323" s="379"/>
      <c r="D323" s="377"/>
      <c r="E323" s="377"/>
      <c r="F323" s="377"/>
      <c r="G323" s="140">
        <f>SUM(H323:U323)</f>
        <v>0</v>
      </c>
      <c r="H323" s="140"/>
      <c r="I323" s="140"/>
      <c r="J323" s="140"/>
      <c r="K323" s="140"/>
      <c r="L323" s="140"/>
      <c r="M323" s="140"/>
      <c r="N323" s="140"/>
      <c r="O323" s="140"/>
      <c r="P323" s="140"/>
      <c r="Q323" s="152"/>
      <c r="R323" s="152"/>
      <c r="S323" s="152"/>
      <c r="T323" s="140"/>
      <c r="U323" s="140"/>
      <c r="V323" s="345"/>
    </row>
    <row r="324" spans="1:22" ht="29.25" customHeight="1">
      <c r="A324" s="274" t="s">
        <v>96</v>
      </c>
      <c r="B324" s="70" t="s">
        <v>115</v>
      </c>
      <c r="C324" s="289" t="s">
        <v>43</v>
      </c>
      <c r="D324" s="286" t="s">
        <v>122</v>
      </c>
      <c r="E324" s="258">
        <v>40</v>
      </c>
      <c r="F324" s="283" t="s">
        <v>18</v>
      </c>
      <c r="G324" s="25">
        <f>G325+G327+G329+G333+G334</f>
        <v>10952.7</v>
      </c>
      <c r="H324" s="25">
        <f>H325+H327+H329+H333+H334</f>
        <v>0</v>
      </c>
      <c r="I324" s="26"/>
      <c r="J324" s="26"/>
      <c r="K324" s="26"/>
      <c r="L324" s="25">
        <f>L325+L327+L329+L333+L334</f>
        <v>995.7</v>
      </c>
      <c r="M324" s="26">
        <v>0</v>
      </c>
      <c r="N324" s="26">
        <v>0</v>
      </c>
      <c r="O324" s="26">
        <v>0</v>
      </c>
      <c r="P324" s="25">
        <f>H324+L324</f>
        <v>995.7</v>
      </c>
      <c r="Q324" s="25">
        <f>I324+M324</f>
        <v>0</v>
      </c>
      <c r="R324" s="25">
        <f>J324+N324</f>
        <v>0</v>
      </c>
      <c r="S324" s="25">
        <f>K324+O324</f>
        <v>0</v>
      </c>
      <c r="T324" s="26"/>
      <c r="U324" s="26"/>
      <c r="V324" s="288"/>
    </row>
    <row r="325" spans="1:22" ht="12.75">
      <c r="A325" s="275"/>
      <c r="B325" s="22" t="s">
        <v>28</v>
      </c>
      <c r="C325" s="290"/>
      <c r="D325" s="287"/>
      <c r="E325" s="346"/>
      <c r="F325" s="284"/>
      <c r="G325" s="256">
        <v>10952.7</v>
      </c>
      <c r="H325" s="256"/>
      <c r="I325" s="134"/>
      <c r="J325" s="134"/>
      <c r="K325" s="134"/>
      <c r="L325" s="256">
        <v>995.7</v>
      </c>
      <c r="M325" s="134"/>
      <c r="N325" s="134"/>
      <c r="O325" s="134"/>
      <c r="P325" s="256">
        <f aca="true" t="shared" si="46" ref="P325:S326">H325+L325</f>
        <v>995.7</v>
      </c>
      <c r="Q325" s="256">
        <f t="shared" si="46"/>
        <v>0</v>
      </c>
      <c r="R325" s="256">
        <f t="shared" si="46"/>
        <v>0</v>
      </c>
      <c r="S325" s="256">
        <f t="shared" si="46"/>
        <v>0</v>
      </c>
      <c r="T325" s="256">
        <v>995.7</v>
      </c>
      <c r="U325" s="256">
        <v>9957</v>
      </c>
      <c r="V325" s="287"/>
    </row>
    <row r="326" spans="1:22" ht="12.75">
      <c r="A326" s="275"/>
      <c r="B326" s="40" t="s">
        <v>27</v>
      </c>
      <c r="C326" s="290"/>
      <c r="D326" s="287"/>
      <c r="E326" s="346"/>
      <c r="F326" s="284"/>
      <c r="G326" s="345"/>
      <c r="H326" s="273"/>
      <c r="I326" s="136"/>
      <c r="J326" s="136"/>
      <c r="K326" s="136"/>
      <c r="L326" s="273"/>
      <c r="M326" s="136"/>
      <c r="N326" s="136"/>
      <c r="O326" s="136"/>
      <c r="P326" s="273">
        <f t="shared" si="46"/>
        <v>0</v>
      </c>
      <c r="Q326" s="273">
        <f t="shared" si="46"/>
        <v>0</v>
      </c>
      <c r="R326" s="273">
        <f t="shared" si="46"/>
        <v>0</v>
      </c>
      <c r="S326" s="273">
        <f t="shared" si="46"/>
        <v>0</v>
      </c>
      <c r="T326" s="273"/>
      <c r="U326" s="273"/>
      <c r="V326" s="287"/>
    </row>
    <row r="327" spans="1:22" ht="12.75">
      <c r="A327" s="275"/>
      <c r="B327" s="23" t="s">
        <v>29</v>
      </c>
      <c r="C327" s="290"/>
      <c r="D327" s="287"/>
      <c r="E327" s="346"/>
      <c r="F327" s="284"/>
      <c r="G327" s="152">
        <v>0</v>
      </c>
      <c r="H327" s="136"/>
      <c r="I327" s="136"/>
      <c r="J327" s="136"/>
      <c r="K327" s="136"/>
      <c r="L327" s="152">
        <v>0</v>
      </c>
      <c r="M327" s="136"/>
      <c r="N327" s="136"/>
      <c r="O327" s="136"/>
      <c r="P327" s="152">
        <f>H327+L327</f>
        <v>0</v>
      </c>
      <c r="Q327" s="152">
        <f>I327+M327</f>
        <v>0</v>
      </c>
      <c r="R327" s="152">
        <f>J327+N327</f>
        <v>0</v>
      </c>
      <c r="S327" s="152">
        <f>K327+O327</f>
        <v>0</v>
      </c>
      <c r="T327" s="136"/>
      <c r="U327" s="136"/>
      <c r="V327" s="287"/>
    </row>
    <row r="328" spans="1:22" ht="12.75">
      <c r="A328" s="275"/>
      <c r="B328" s="44" t="s">
        <v>39</v>
      </c>
      <c r="C328" s="290"/>
      <c r="D328" s="287"/>
      <c r="E328" s="346"/>
      <c r="F328" s="284"/>
      <c r="G328" s="153">
        <v>0</v>
      </c>
      <c r="H328" s="136"/>
      <c r="I328" s="136"/>
      <c r="J328" s="136"/>
      <c r="K328" s="136"/>
      <c r="L328" s="153">
        <v>0</v>
      </c>
      <c r="M328" s="136"/>
      <c r="N328" s="136"/>
      <c r="O328" s="136"/>
      <c r="P328" s="153">
        <f aca="true" t="shared" si="47" ref="P328:S334">H328+L328</f>
        <v>0</v>
      </c>
      <c r="Q328" s="153">
        <f t="shared" si="47"/>
        <v>0</v>
      </c>
      <c r="R328" s="153">
        <f t="shared" si="47"/>
        <v>0</v>
      </c>
      <c r="S328" s="153">
        <f t="shared" si="47"/>
        <v>0</v>
      </c>
      <c r="T328" s="136"/>
      <c r="U328" s="136"/>
      <c r="V328" s="287"/>
    </row>
    <row r="329" spans="1:22" ht="12.75">
      <c r="A329" s="275"/>
      <c r="B329" s="23" t="s">
        <v>30</v>
      </c>
      <c r="C329" s="290"/>
      <c r="D329" s="287"/>
      <c r="E329" s="346"/>
      <c r="F329" s="284"/>
      <c r="G329" s="152">
        <v>0</v>
      </c>
      <c r="H329" s="136"/>
      <c r="I329" s="136"/>
      <c r="J329" s="136"/>
      <c r="K329" s="136"/>
      <c r="L329" s="152">
        <v>0</v>
      </c>
      <c r="M329" s="136"/>
      <c r="N329" s="136"/>
      <c r="O329" s="136"/>
      <c r="P329" s="152">
        <f t="shared" si="47"/>
        <v>0</v>
      </c>
      <c r="Q329" s="152">
        <f t="shared" si="47"/>
        <v>0</v>
      </c>
      <c r="R329" s="152">
        <f t="shared" si="47"/>
        <v>0</v>
      </c>
      <c r="S329" s="152">
        <f t="shared" si="47"/>
        <v>0</v>
      </c>
      <c r="T329" s="136"/>
      <c r="U329" s="136"/>
      <c r="V329" s="287"/>
    </row>
    <row r="330" spans="1:22" ht="12.75">
      <c r="A330" s="275"/>
      <c r="B330" s="44" t="s">
        <v>41</v>
      </c>
      <c r="C330" s="357"/>
      <c r="D330" s="346"/>
      <c r="E330" s="346"/>
      <c r="F330" s="346"/>
      <c r="G330" s="153">
        <v>0</v>
      </c>
      <c r="H330" s="140"/>
      <c r="I330" s="140"/>
      <c r="J330" s="140"/>
      <c r="K330" s="140"/>
      <c r="L330" s="153">
        <v>0</v>
      </c>
      <c r="M330" s="140"/>
      <c r="N330" s="140"/>
      <c r="O330" s="140"/>
      <c r="P330" s="153">
        <f t="shared" si="47"/>
        <v>0</v>
      </c>
      <c r="Q330" s="153">
        <f t="shared" si="47"/>
        <v>0</v>
      </c>
      <c r="R330" s="153">
        <f t="shared" si="47"/>
        <v>0</v>
      </c>
      <c r="S330" s="153">
        <f t="shared" si="47"/>
        <v>0</v>
      </c>
      <c r="T330" s="140"/>
      <c r="U330" s="140"/>
      <c r="V330" s="346"/>
    </row>
    <row r="331" spans="1:22" ht="12.75">
      <c r="A331" s="275"/>
      <c r="B331" s="41" t="s">
        <v>32</v>
      </c>
      <c r="C331" s="357"/>
      <c r="D331" s="346"/>
      <c r="E331" s="346"/>
      <c r="F331" s="346"/>
      <c r="G331" s="153">
        <v>0</v>
      </c>
      <c r="H331" s="140"/>
      <c r="I331" s="140"/>
      <c r="J331" s="140"/>
      <c r="K331" s="140"/>
      <c r="L331" s="153">
        <v>0</v>
      </c>
      <c r="M331" s="140"/>
      <c r="N331" s="140"/>
      <c r="O331" s="140"/>
      <c r="P331" s="153">
        <f t="shared" si="47"/>
        <v>0</v>
      </c>
      <c r="Q331" s="153">
        <f t="shared" si="47"/>
        <v>0</v>
      </c>
      <c r="R331" s="153">
        <f t="shared" si="47"/>
        <v>0</v>
      </c>
      <c r="S331" s="153">
        <f t="shared" si="47"/>
        <v>0</v>
      </c>
      <c r="T331" s="140"/>
      <c r="U331" s="140"/>
      <c r="V331" s="346"/>
    </row>
    <row r="332" spans="1:22" ht="12.75">
      <c r="A332" s="275"/>
      <c r="B332" s="41" t="s">
        <v>33</v>
      </c>
      <c r="C332" s="357"/>
      <c r="D332" s="346"/>
      <c r="E332" s="346"/>
      <c r="F332" s="346"/>
      <c r="G332" s="153">
        <v>0</v>
      </c>
      <c r="H332" s="140"/>
      <c r="I332" s="140"/>
      <c r="J332" s="140"/>
      <c r="K332" s="140"/>
      <c r="L332" s="153">
        <v>0</v>
      </c>
      <c r="M332" s="140"/>
      <c r="N332" s="140"/>
      <c r="O332" s="140"/>
      <c r="P332" s="153">
        <f t="shared" si="47"/>
        <v>0</v>
      </c>
      <c r="Q332" s="153">
        <f t="shared" si="47"/>
        <v>0</v>
      </c>
      <c r="R332" s="153">
        <f t="shared" si="47"/>
        <v>0</v>
      </c>
      <c r="S332" s="153">
        <f t="shared" si="47"/>
        <v>0</v>
      </c>
      <c r="T332" s="140"/>
      <c r="U332" s="140"/>
      <c r="V332" s="346"/>
    </row>
    <row r="333" spans="1:22" ht="12.75">
      <c r="A333" s="275"/>
      <c r="B333" s="23" t="s">
        <v>37</v>
      </c>
      <c r="C333" s="357"/>
      <c r="D333" s="346"/>
      <c r="E333" s="346"/>
      <c r="F333" s="346"/>
      <c r="G333" s="152">
        <v>0</v>
      </c>
      <c r="H333" s="140"/>
      <c r="I333" s="140"/>
      <c r="J333" s="140"/>
      <c r="K333" s="140"/>
      <c r="L333" s="152">
        <v>0</v>
      </c>
      <c r="M333" s="140"/>
      <c r="N333" s="140"/>
      <c r="O333" s="140"/>
      <c r="P333" s="152">
        <f t="shared" si="47"/>
        <v>0</v>
      </c>
      <c r="Q333" s="152">
        <f t="shared" si="47"/>
        <v>0</v>
      </c>
      <c r="R333" s="152">
        <f t="shared" si="47"/>
        <v>0</v>
      </c>
      <c r="S333" s="152">
        <f t="shared" si="47"/>
        <v>0</v>
      </c>
      <c r="T333" s="140"/>
      <c r="U333" s="140"/>
      <c r="V333" s="346"/>
    </row>
    <row r="334" spans="1:22" ht="12.75">
      <c r="A334" s="275"/>
      <c r="B334" s="23" t="s">
        <v>38</v>
      </c>
      <c r="C334" s="358"/>
      <c r="D334" s="345"/>
      <c r="E334" s="345"/>
      <c r="F334" s="345"/>
      <c r="G334" s="152">
        <v>0</v>
      </c>
      <c r="H334" s="140"/>
      <c r="I334" s="140"/>
      <c r="J334" s="140"/>
      <c r="K334" s="140"/>
      <c r="L334" s="152">
        <v>0</v>
      </c>
      <c r="M334" s="140"/>
      <c r="N334" s="140"/>
      <c r="O334" s="140"/>
      <c r="P334" s="152">
        <f t="shared" si="47"/>
        <v>0</v>
      </c>
      <c r="Q334" s="152">
        <f t="shared" si="47"/>
        <v>0</v>
      </c>
      <c r="R334" s="152">
        <f t="shared" si="47"/>
        <v>0</v>
      </c>
      <c r="S334" s="152">
        <f t="shared" si="47"/>
        <v>0</v>
      </c>
      <c r="T334" s="140"/>
      <c r="U334" s="140"/>
      <c r="V334" s="345"/>
    </row>
    <row r="335" spans="1:22" ht="33.75" customHeight="1">
      <c r="A335" s="274" t="s">
        <v>97</v>
      </c>
      <c r="B335" s="69" t="s">
        <v>114</v>
      </c>
      <c r="C335" s="289" t="s">
        <v>43</v>
      </c>
      <c r="D335" s="286" t="s">
        <v>123</v>
      </c>
      <c r="E335" s="258">
        <v>40</v>
      </c>
      <c r="F335" s="283" t="s">
        <v>18</v>
      </c>
      <c r="G335" s="25">
        <f>G336+G338+G340+G344+G345</f>
        <v>10379.6</v>
      </c>
      <c r="H335" s="25">
        <f>H336+H338+H340+H344+H345</f>
        <v>0</v>
      </c>
      <c r="I335" s="26"/>
      <c r="J335" s="26"/>
      <c r="K335" s="26"/>
      <c r="L335" s="25">
        <f>L336+L338+L340+L344+L345</f>
        <v>943.6</v>
      </c>
      <c r="M335" s="26">
        <v>0</v>
      </c>
      <c r="N335" s="26">
        <v>0</v>
      </c>
      <c r="O335" s="26">
        <v>0</v>
      </c>
      <c r="P335" s="25">
        <f>H335+L335</f>
        <v>943.6</v>
      </c>
      <c r="Q335" s="25">
        <f>I335+M335</f>
        <v>0</v>
      </c>
      <c r="R335" s="25">
        <f>J335+N335</f>
        <v>0</v>
      </c>
      <c r="S335" s="25">
        <f>K335+O335</f>
        <v>0</v>
      </c>
      <c r="T335" s="26"/>
      <c r="U335" s="26"/>
      <c r="V335" s="288"/>
    </row>
    <row r="336" spans="1:22" ht="12.75">
      <c r="A336" s="275"/>
      <c r="B336" s="22" t="s">
        <v>127</v>
      </c>
      <c r="C336" s="290"/>
      <c r="D336" s="287"/>
      <c r="E336" s="346"/>
      <c r="F336" s="284"/>
      <c r="G336" s="256">
        <v>10379.6</v>
      </c>
      <c r="H336" s="256"/>
      <c r="I336" s="134"/>
      <c r="J336" s="134"/>
      <c r="K336" s="134"/>
      <c r="L336" s="256">
        <v>943.6</v>
      </c>
      <c r="M336" s="134"/>
      <c r="N336" s="134"/>
      <c r="O336" s="134"/>
      <c r="P336" s="256">
        <f aca="true" t="shared" si="48" ref="P336:S337">H336+L336</f>
        <v>943.6</v>
      </c>
      <c r="Q336" s="256">
        <f t="shared" si="48"/>
        <v>0</v>
      </c>
      <c r="R336" s="256">
        <f t="shared" si="48"/>
        <v>0</v>
      </c>
      <c r="S336" s="256">
        <f t="shared" si="48"/>
        <v>0</v>
      </c>
      <c r="T336" s="256">
        <v>943.6</v>
      </c>
      <c r="U336" s="256">
        <v>9436</v>
      </c>
      <c r="V336" s="287"/>
    </row>
    <row r="337" spans="1:22" ht="12.75">
      <c r="A337" s="275"/>
      <c r="B337" s="40" t="s">
        <v>27</v>
      </c>
      <c r="C337" s="290"/>
      <c r="D337" s="287"/>
      <c r="E337" s="346"/>
      <c r="F337" s="284"/>
      <c r="G337" s="345"/>
      <c r="H337" s="273"/>
      <c r="I337" s="136"/>
      <c r="J337" s="136"/>
      <c r="K337" s="136"/>
      <c r="L337" s="273"/>
      <c r="M337" s="136"/>
      <c r="N337" s="136"/>
      <c r="O337" s="136"/>
      <c r="P337" s="273">
        <f t="shared" si="48"/>
        <v>0</v>
      </c>
      <c r="Q337" s="273">
        <f t="shared" si="48"/>
        <v>0</v>
      </c>
      <c r="R337" s="273">
        <f t="shared" si="48"/>
        <v>0</v>
      </c>
      <c r="S337" s="273">
        <f t="shared" si="48"/>
        <v>0</v>
      </c>
      <c r="T337" s="273"/>
      <c r="U337" s="273"/>
      <c r="V337" s="287"/>
    </row>
    <row r="338" spans="1:22" ht="12.75">
      <c r="A338" s="275"/>
      <c r="B338" s="23" t="s">
        <v>29</v>
      </c>
      <c r="C338" s="290"/>
      <c r="D338" s="287"/>
      <c r="E338" s="346"/>
      <c r="F338" s="284"/>
      <c r="G338" s="152">
        <v>0</v>
      </c>
      <c r="H338" s="136"/>
      <c r="I338" s="136"/>
      <c r="J338" s="136"/>
      <c r="K338" s="136"/>
      <c r="L338" s="152">
        <v>0</v>
      </c>
      <c r="M338" s="136"/>
      <c r="N338" s="136"/>
      <c r="O338" s="136"/>
      <c r="P338" s="152">
        <f>H338+L338</f>
        <v>0</v>
      </c>
      <c r="Q338" s="152">
        <f>I338+M338</f>
        <v>0</v>
      </c>
      <c r="R338" s="152">
        <f>J338+N338</f>
        <v>0</v>
      </c>
      <c r="S338" s="152">
        <f>K338+O338</f>
        <v>0</v>
      </c>
      <c r="T338" s="136"/>
      <c r="U338" s="136"/>
      <c r="V338" s="287"/>
    </row>
    <row r="339" spans="1:22" ht="12.75">
      <c r="A339" s="275"/>
      <c r="B339" s="44" t="s">
        <v>39</v>
      </c>
      <c r="C339" s="290"/>
      <c r="D339" s="287"/>
      <c r="E339" s="346"/>
      <c r="F339" s="284"/>
      <c r="G339" s="153">
        <v>0</v>
      </c>
      <c r="H339" s="136"/>
      <c r="I339" s="136"/>
      <c r="J339" s="136"/>
      <c r="K339" s="136"/>
      <c r="L339" s="153">
        <v>0</v>
      </c>
      <c r="M339" s="136"/>
      <c r="N339" s="136"/>
      <c r="O339" s="136"/>
      <c r="P339" s="153">
        <f aca="true" t="shared" si="49" ref="P339:S345">H339+L339</f>
        <v>0</v>
      </c>
      <c r="Q339" s="153">
        <f t="shared" si="49"/>
        <v>0</v>
      </c>
      <c r="R339" s="153">
        <f t="shared" si="49"/>
        <v>0</v>
      </c>
      <c r="S339" s="153">
        <f t="shared" si="49"/>
        <v>0</v>
      </c>
      <c r="T339" s="136"/>
      <c r="U339" s="136"/>
      <c r="V339" s="287"/>
    </row>
    <row r="340" spans="1:22" ht="12.75">
      <c r="A340" s="275"/>
      <c r="B340" s="23" t="s">
        <v>30</v>
      </c>
      <c r="C340" s="290"/>
      <c r="D340" s="287"/>
      <c r="E340" s="346"/>
      <c r="F340" s="284"/>
      <c r="G340" s="152">
        <v>0</v>
      </c>
      <c r="H340" s="136"/>
      <c r="I340" s="136"/>
      <c r="J340" s="136"/>
      <c r="K340" s="136"/>
      <c r="L340" s="152">
        <v>0</v>
      </c>
      <c r="M340" s="136"/>
      <c r="N340" s="136"/>
      <c r="O340" s="136"/>
      <c r="P340" s="152">
        <f t="shared" si="49"/>
        <v>0</v>
      </c>
      <c r="Q340" s="152">
        <f t="shared" si="49"/>
        <v>0</v>
      </c>
      <c r="R340" s="152">
        <f t="shared" si="49"/>
        <v>0</v>
      </c>
      <c r="S340" s="152">
        <f t="shared" si="49"/>
        <v>0</v>
      </c>
      <c r="T340" s="136"/>
      <c r="U340" s="136"/>
      <c r="V340" s="287"/>
    </row>
    <row r="341" spans="1:22" ht="12.75">
      <c r="A341" s="275"/>
      <c r="B341" s="44" t="s">
        <v>41</v>
      </c>
      <c r="C341" s="357"/>
      <c r="D341" s="346"/>
      <c r="E341" s="346"/>
      <c r="F341" s="346"/>
      <c r="G341" s="153">
        <v>0</v>
      </c>
      <c r="H341" s="140"/>
      <c r="I341" s="140"/>
      <c r="J341" s="140"/>
      <c r="K341" s="140"/>
      <c r="L341" s="153">
        <v>0</v>
      </c>
      <c r="M341" s="140"/>
      <c r="N341" s="140"/>
      <c r="O341" s="140"/>
      <c r="P341" s="153">
        <f t="shared" si="49"/>
        <v>0</v>
      </c>
      <c r="Q341" s="153">
        <f t="shared" si="49"/>
        <v>0</v>
      </c>
      <c r="R341" s="153">
        <f t="shared" si="49"/>
        <v>0</v>
      </c>
      <c r="S341" s="153">
        <f t="shared" si="49"/>
        <v>0</v>
      </c>
      <c r="T341" s="140"/>
      <c r="U341" s="140"/>
      <c r="V341" s="346"/>
    </row>
    <row r="342" spans="1:22" ht="12.75">
      <c r="A342" s="275"/>
      <c r="B342" s="41" t="s">
        <v>32</v>
      </c>
      <c r="C342" s="357"/>
      <c r="D342" s="346"/>
      <c r="E342" s="346"/>
      <c r="F342" s="346"/>
      <c r="G342" s="153">
        <v>0</v>
      </c>
      <c r="H342" s="140"/>
      <c r="I342" s="140"/>
      <c r="J342" s="140"/>
      <c r="K342" s="140"/>
      <c r="L342" s="153">
        <v>0</v>
      </c>
      <c r="M342" s="140"/>
      <c r="N342" s="140"/>
      <c r="O342" s="140"/>
      <c r="P342" s="153">
        <f t="shared" si="49"/>
        <v>0</v>
      </c>
      <c r="Q342" s="153">
        <f t="shared" si="49"/>
        <v>0</v>
      </c>
      <c r="R342" s="153">
        <f t="shared" si="49"/>
        <v>0</v>
      </c>
      <c r="S342" s="153">
        <f t="shared" si="49"/>
        <v>0</v>
      </c>
      <c r="T342" s="140"/>
      <c r="U342" s="140"/>
      <c r="V342" s="346"/>
    </row>
    <row r="343" spans="1:22" ht="12.75">
      <c r="A343" s="275"/>
      <c r="B343" s="41" t="s">
        <v>33</v>
      </c>
      <c r="C343" s="357"/>
      <c r="D343" s="346"/>
      <c r="E343" s="346"/>
      <c r="F343" s="346"/>
      <c r="G343" s="153">
        <v>0</v>
      </c>
      <c r="H343" s="140"/>
      <c r="I343" s="140"/>
      <c r="J343" s="140"/>
      <c r="K343" s="140"/>
      <c r="L343" s="153">
        <v>0</v>
      </c>
      <c r="M343" s="140"/>
      <c r="N343" s="140"/>
      <c r="O343" s="140"/>
      <c r="P343" s="153">
        <f t="shared" si="49"/>
        <v>0</v>
      </c>
      <c r="Q343" s="153">
        <f t="shared" si="49"/>
        <v>0</v>
      </c>
      <c r="R343" s="153">
        <f t="shared" si="49"/>
        <v>0</v>
      </c>
      <c r="S343" s="153">
        <f t="shared" si="49"/>
        <v>0</v>
      </c>
      <c r="T343" s="140"/>
      <c r="U343" s="140"/>
      <c r="V343" s="346"/>
    </row>
    <row r="344" spans="1:22" ht="12.75">
      <c r="A344" s="275"/>
      <c r="B344" s="23" t="s">
        <v>37</v>
      </c>
      <c r="C344" s="357"/>
      <c r="D344" s="346"/>
      <c r="E344" s="346"/>
      <c r="F344" s="346"/>
      <c r="G344" s="152">
        <v>0</v>
      </c>
      <c r="H344" s="140"/>
      <c r="I344" s="140"/>
      <c r="J344" s="140"/>
      <c r="K344" s="140"/>
      <c r="L344" s="152">
        <v>0</v>
      </c>
      <c r="M344" s="140"/>
      <c r="N344" s="140"/>
      <c r="O344" s="140"/>
      <c r="P344" s="152">
        <f t="shared" si="49"/>
        <v>0</v>
      </c>
      <c r="Q344" s="152">
        <f t="shared" si="49"/>
        <v>0</v>
      </c>
      <c r="R344" s="152">
        <f t="shared" si="49"/>
        <v>0</v>
      </c>
      <c r="S344" s="152">
        <f t="shared" si="49"/>
        <v>0</v>
      </c>
      <c r="T344" s="140"/>
      <c r="U344" s="140"/>
      <c r="V344" s="346"/>
    </row>
    <row r="345" spans="1:22" ht="12.75">
      <c r="A345" s="275"/>
      <c r="B345" s="23" t="s">
        <v>38</v>
      </c>
      <c r="C345" s="358"/>
      <c r="D345" s="345"/>
      <c r="E345" s="345"/>
      <c r="F345" s="345"/>
      <c r="G345" s="152">
        <v>0</v>
      </c>
      <c r="H345" s="140"/>
      <c r="I345" s="140"/>
      <c r="J345" s="140"/>
      <c r="K345" s="140"/>
      <c r="L345" s="152">
        <v>0</v>
      </c>
      <c r="M345" s="140"/>
      <c r="N345" s="140"/>
      <c r="O345" s="140"/>
      <c r="P345" s="152">
        <f t="shared" si="49"/>
        <v>0</v>
      </c>
      <c r="Q345" s="152">
        <f t="shared" si="49"/>
        <v>0</v>
      </c>
      <c r="R345" s="152">
        <f t="shared" si="49"/>
        <v>0</v>
      </c>
      <c r="S345" s="152">
        <f t="shared" si="49"/>
        <v>0</v>
      </c>
      <c r="T345" s="140"/>
      <c r="U345" s="140"/>
      <c r="V345" s="345"/>
    </row>
    <row r="346" spans="1:22" ht="25.5">
      <c r="A346" s="274" t="s">
        <v>98</v>
      </c>
      <c r="B346" s="53" t="s">
        <v>139</v>
      </c>
      <c r="C346" s="289" t="s">
        <v>58</v>
      </c>
      <c r="D346" s="286" t="s">
        <v>51</v>
      </c>
      <c r="E346" s="258">
        <v>1.5</v>
      </c>
      <c r="F346" s="283" t="s">
        <v>18</v>
      </c>
      <c r="G346" s="25">
        <f>G347+G352+G354+G358+G359</f>
        <v>1003.7</v>
      </c>
      <c r="H346" s="25">
        <f>H347+H352+H354+H358+H359</f>
        <v>1003.7</v>
      </c>
      <c r="I346" s="25">
        <f>I347+I352+I354+I358+I359</f>
        <v>865.1179999999999</v>
      </c>
      <c r="J346" s="25">
        <f>J347+J352+J354+J358+J359</f>
        <v>865.1179999999999</v>
      </c>
      <c r="K346" s="25">
        <f>K347+K352+K354+K358+K359</f>
        <v>865.1179999999999</v>
      </c>
      <c r="L346" s="25">
        <v>0</v>
      </c>
      <c r="M346" s="25">
        <f>M347+M352+M354+M358+M359</f>
        <v>498.641</v>
      </c>
      <c r="N346" s="25">
        <f>N347+N352+N354+N358+N359</f>
        <v>303.64</v>
      </c>
      <c r="O346" s="25">
        <f>O347+O352+O354+O358+O359</f>
        <v>303.64</v>
      </c>
      <c r="P346" s="25">
        <f>P347+P352+P354+P358+P359</f>
        <v>1003.7</v>
      </c>
      <c r="Q346" s="25">
        <f>I346+M346</f>
        <v>1363.759</v>
      </c>
      <c r="R346" s="25">
        <f>J346+N346</f>
        <v>1168.7579999999998</v>
      </c>
      <c r="S346" s="25">
        <f>K346+O346</f>
        <v>1168.7579999999998</v>
      </c>
      <c r="T346" s="26"/>
      <c r="U346" s="26"/>
      <c r="V346" s="288"/>
    </row>
    <row r="347" spans="1:22" ht="12.75">
      <c r="A347" s="275"/>
      <c r="B347" s="22" t="s">
        <v>127</v>
      </c>
      <c r="C347" s="290"/>
      <c r="D347" s="287"/>
      <c r="E347" s="346"/>
      <c r="F347" s="284"/>
      <c r="G347" s="256">
        <f>SUM(H347)</f>
        <v>1003.7</v>
      </c>
      <c r="H347" s="256">
        <v>1003.7</v>
      </c>
      <c r="I347" s="256">
        <f>SUM(I349:I351)</f>
        <v>865.1179999999999</v>
      </c>
      <c r="J347" s="256">
        <f>SUM(J349:J351)</f>
        <v>865.1179999999999</v>
      </c>
      <c r="K347" s="256">
        <f>SUM(K349:K351)</f>
        <v>865.1179999999999</v>
      </c>
      <c r="L347" s="419">
        <v>0</v>
      </c>
      <c r="M347" s="256">
        <f>SUM(M349:M351)</f>
        <v>498.641</v>
      </c>
      <c r="N347" s="256">
        <f>SUM(N349:N351)</f>
        <v>303.64</v>
      </c>
      <c r="O347" s="256">
        <f>SUM(O349:O351)</f>
        <v>303.64</v>
      </c>
      <c r="P347" s="256">
        <f aca="true" t="shared" si="50" ref="P347:S348">H347+L347</f>
        <v>1003.7</v>
      </c>
      <c r="Q347" s="256">
        <f t="shared" si="50"/>
        <v>1363.759</v>
      </c>
      <c r="R347" s="256">
        <f t="shared" si="50"/>
        <v>1168.7579999999998</v>
      </c>
      <c r="S347" s="256">
        <f t="shared" si="50"/>
        <v>1168.7579999999998</v>
      </c>
      <c r="T347" s="256"/>
      <c r="U347" s="256"/>
      <c r="V347" s="287"/>
    </row>
    <row r="348" spans="1:22" ht="12.75">
      <c r="A348" s="275"/>
      <c r="B348" s="40" t="s">
        <v>27</v>
      </c>
      <c r="C348" s="290"/>
      <c r="D348" s="287"/>
      <c r="E348" s="346"/>
      <c r="F348" s="284"/>
      <c r="G348" s="345"/>
      <c r="H348" s="273"/>
      <c r="I348" s="273"/>
      <c r="J348" s="273"/>
      <c r="K348" s="273"/>
      <c r="L348" s="246"/>
      <c r="M348" s="273"/>
      <c r="N348" s="273"/>
      <c r="O348" s="273"/>
      <c r="P348" s="273">
        <f t="shared" si="50"/>
        <v>0</v>
      </c>
      <c r="Q348" s="273">
        <f t="shared" si="50"/>
        <v>0</v>
      </c>
      <c r="R348" s="273">
        <f t="shared" si="50"/>
        <v>0</v>
      </c>
      <c r="S348" s="273">
        <f t="shared" si="50"/>
        <v>0</v>
      </c>
      <c r="T348" s="273"/>
      <c r="U348" s="273"/>
      <c r="V348" s="287"/>
    </row>
    <row r="349" spans="1:22" s="171" customFormat="1" ht="12.75" customHeight="1" hidden="1">
      <c r="A349" s="275"/>
      <c r="B349" s="115" t="s">
        <v>170</v>
      </c>
      <c r="C349" s="290"/>
      <c r="D349" s="287"/>
      <c r="E349" s="346"/>
      <c r="F349" s="284"/>
      <c r="G349" s="170"/>
      <c r="H349" s="117"/>
      <c r="I349" s="117">
        <v>676.583</v>
      </c>
      <c r="J349" s="117">
        <v>676.583</v>
      </c>
      <c r="K349" s="117">
        <v>676.583</v>
      </c>
      <c r="L349" s="117"/>
      <c r="M349" s="117">
        <f>295+70</f>
        <v>365</v>
      </c>
      <c r="N349" s="117">
        <f>80+90</f>
        <v>170</v>
      </c>
      <c r="O349" s="117">
        <f>80+90</f>
        <v>170</v>
      </c>
      <c r="P349" s="232">
        <f>H349+L349</f>
        <v>0</v>
      </c>
      <c r="Q349" s="232">
        <f>I349+M349</f>
        <v>1041.583</v>
      </c>
      <c r="R349" s="232">
        <f>J349+N349</f>
        <v>846.583</v>
      </c>
      <c r="S349" s="232">
        <f>K349+O349</f>
        <v>846.583</v>
      </c>
      <c r="T349" s="117"/>
      <c r="U349" s="117"/>
      <c r="V349" s="287"/>
    </row>
    <row r="350" spans="1:22" s="171" customFormat="1" ht="12.75" customHeight="1" hidden="1">
      <c r="A350" s="275"/>
      <c r="B350" s="115" t="s">
        <v>239</v>
      </c>
      <c r="C350" s="290"/>
      <c r="D350" s="287"/>
      <c r="E350" s="346"/>
      <c r="F350" s="284"/>
      <c r="G350" s="170"/>
      <c r="H350" s="117"/>
      <c r="I350" s="117"/>
      <c r="J350" s="117"/>
      <c r="K350" s="117"/>
      <c r="L350" s="117"/>
      <c r="M350" s="117">
        <v>60.56</v>
      </c>
      <c r="N350" s="117">
        <v>60.56</v>
      </c>
      <c r="O350" s="117">
        <v>60.56</v>
      </c>
      <c r="P350" s="232"/>
      <c r="Q350" s="232"/>
      <c r="R350" s="232"/>
      <c r="S350" s="232"/>
      <c r="T350" s="117"/>
      <c r="U350" s="117"/>
      <c r="V350" s="287"/>
    </row>
    <row r="351" spans="1:22" s="171" customFormat="1" ht="12.75" customHeight="1" hidden="1">
      <c r="A351" s="275"/>
      <c r="B351" s="115" t="s">
        <v>171</v>
      </c>
      <c r="C351" s="290"/>
      <c r="D351" s="287"/>
      <c r="E351" s="346"/>
      <c r="F351" s="284"/>
      <c r="G351" s="170"/>
      <c r="H351" s="117"/>
      <c r="I351" s="117">
        <v>188.535</v>
      </c>
      <c r="J351" s="117">
        <v>188.535</v>
      </c>
      <c r="K351" s="117">
        <v>188.535</v>
      </c>
      <c r="L351" s="117"/>
      <c r="M351" s="117">
        <f>49.481+23.6</f>
        <v>73.081</v>
      </c>
      <c r="N351" s="117">
        <f>14.844+34.636+16.52+7.08</f>
        <v>73.08</v>
      </c>
      <c r="O351" s="117">
        <f>14.844+34.636+16.52+7.08</f>
        <v>73.08</v>
      </c>
      <c r="P351" s="233">
        <f aca="true" t="shared" si="51" ref="P351:S359">H351+L351</f>
        <v>0</v>
      </c>
      <c r="Q351" s="233">
        <f t="shared" si="51"/>
        <v>261.616</v>
      </c>
      <c r="R351" s="233">
        <f t="shared" si="51"/>
        <v>261.615</v>
      </c>
      <c r="S351" s="233">
        <f t="shared" si="51"/>
        <v>261.615</v>
      </c>
      <c r="T351" s="117"/>
      <c r="U351" s="117"/>
      <c r="V351" s="287"/>
    </row>
    <row r="352" spans="1:22" ht="12.75">
      <c r="A352" s="275"/>
      <c r="B352" s="23" t="s">
        <v>29</v>
      </c>
      <c r="C352" s="290"/>
      <c r="D352" s="287"/>
      <c r="E352" s="346"/>
      <c r="F352" s="284"/>
      <c r="G352" s="152">
        <v>0</v>
      </c>
      <c r="H352" s="136"/>
      <c r="I352" s="136"/>
      <c r="J352" s="136"/>
      <c r="K352" s="136"/>
      <c r="L352" s="152">
        <v>0</v>
      </c>
      <c r="M352" s="136"/>
      <c r="N352" s="136"/>
      <c r="O352" s="136"/>
      <c r="P352" s="152">
        <f t="shared" si="51"/>
        <v>0</v>
      </c>
      <c r="Q352" s="152">
        <f t="shared" si="51"/>
        <v>0</v>
      </c>
      <c r="R352" s="152">
        <f t="shared" si="51"/>
        <v>0</v>
      </c>
      <c r="S352" s="152">
        <f t="shared" si="51"/>
        <v>0</v>
      </c>
      <c r="T352" s="136"/>
      <c r="U352" s="136"/>
      <c r="V352" s="287"/>
    </row>
    <row r="353" spans="1:22" ht="12.75">
      <c r="A353" s="275"/>
      <c r="B353" s="44" t="s">
        <v>39</v>
      </c>
      <c r="C353" s="290"/>
      <c r="D353" s="287"/>
      <c r="E353" s="346"/>
      <c r="F353" s="284"/>
      <c r="G353" s="153">
        <v>0</v>
      </c>
      <c r="H353" s="136"/>
      <c r="I353" s="136"/>
      <c r="J353" s="136"/>
      <c r="K353" s="136"/>
      <c r="L353" s="153">
        <v>0</v>
      </c>
      <c r="M353" s="136"/>
      <c r="N353" s="136"/>
      <c r="O353" s="136"/>
      <c r="P353" s="153">
        <f t="shared" si="51"/>
        <v>0</v>
      </c>
      <c r="Q353" s="153">
        <f t="shared" si="51"/>
        <v>0</v>
      </c>
      <c r="R353" s="153">
        <f t="shared" si="51"/>
        <v>0</v>
      </c>
      <c r="S353" s="153">
        <f t="shared" si="51"/>
        <v>0</v>
      </c>
      <c r="T353" s="136"/>
      <c r="U353" s="136"/>
      <c r="V353" s="287"/>
    </row>
    <row r="354" spans="1:22" ht="12.75">
      <c r="A354" s="275"/>
      <c r="B354" s="23" t="s">
        <v>30</v>
      </c>
      <c r="C354" s="290"/>
      <c r="D354" s="287"/>
      <c r="E354" s="346"/>
      <c r="F354" s="284"/>
      <c r="G354" s="152">
        <v>0</v>
      </c>
      <c r="H354" s="136"/>
      <c r="I354" s="136"/>
      <c r="J354" s="136"/>
      <c r="K354" s="136"/>
      <c r="L354" s="152">
        <v>0</v>
      </c>
      <c r="M354" s="136"/>
      <c r="N354" s="136"/>
      <c r="O354" s="136"/>
      <c r="P354" s="152">
        <f t="shared" si="51"/>
        <v>0</v>
      </c>
      <c r="Q354" s="152">
        <f t="shared" si="51"/>
        <v>0</v>
      </c>
      <c r="R354" s="152">
        <f t="shared" si="51"/>
        <v>0</v>
      </c>
      <c r="S354" s="152">
        <f t="shared" si="51"/>
        <v>0</v>
      </c>
      <c r="T354" s="136"/>
      <c r="U354" s="136"/>
      <c r="V354" s="287"/>
    </row>
    <row r="355" spans="1:22" ht="12.75">
      <c r="A355" s="275"/>
      <c r="B355" s="44" t="s">
        <v>41</v>
      </c>
      <c r="C355" s="357"/>
      <c r="D355" s="346"/>
      <c r="E355" s="346"/>
      <c r="F355" s="346"/>
      <c r="G355" s="153">
        <v>0</v>
      </c>
      <c r="H355" s="140"/>
      <c r="I355" s="140"/>
      <c r="J355" s="140"/>
      <c r="K355" s="140"/>
      <c r="L355" s="153">
        <v>0</v>
      </c>
      <c r="M355" s="140"/>
      <c r="N355" s="140"/>
      <c r="O355" s="140"/>
      <c r="P355" s="153">
        <f t="shared" si="51"/>
        <v>0</v>
      </c>
      <c r="Q355" s="153">
        <f t="shared" si="51"/>
        <v>0</v>
      </c>
      <c r="R355" s="153">
        <f t="shared" si="51"/>
        <v>0</v>
      </c>
      <c r="S355" s="153">
        <f t="shared" si="51"/>
        <v>0</v>
      </c>
      <c r="T355" s="140"/>
      <c r="U355" s="140"/>
      <c r="V355" s="346"/>
    </row>
    <row r="356" spans="1:22" ht="12.75">
      <c r="A356" s="275"/>
      <c r="B356" s="41" t="s">
        <v>32</v>
      </c>
      <c r="C356" s="357"/>
      <c r="D356" s="346"/>
      <c r="E356" s="346"/>
      <c r="F356" s="346"/>
      <c r="G356" s="153">
        <v>0</v>
      </c>
      <c r="H356" s="140"/>
      <c r="I356" s="140"/>
      <c r="J356" s="140"/>
      <c r="K356" s="140"/>
      <c r="L356" s="153">
        <v>0</v>
      </c>
      <c r="M356" s="140"/>
      <c r="N356" s="140"/>
      <c r="O356" s="140"/>
      <c r="P356" s="153">
        <f t="shared" si="51"/>
        <v>0</v>
      </c>
      <c r="Q356" s="153">
        <f t="shared" si="51"/>
        <v>0</v>
      </c>
      <c r="R356" s="153">
        <f t="shared" si="51"/>
        <v>0</v>
      </c>
      <c r="S356" s="153">
        <f t="shared" si="51"/>
        <v>0</v>
      </c>
      <c r="T356" s="140"/>
      <c r="U356" s="140"/>
      <c r="V356" s="346"/>
    </row>
    <row r="357" spans="1:22" ht="12.75">
      <c r="A357" s="275"/>
      <c r="B357" s="41" t="s">
        <v>33</v>
      </c>
      <c r="C357" s="357"/>
      <c r="D357" s="346"/>
      <c r="E357" s="346"/>
      <c r="F357" s="346"/>
      <c r="G357" s="153">
        <v>0</v>
      </c>
      <c r="H357" s="140"/>
      <c r="I357" s="140"/>
      <c r="J357" s="140"/>
      <c r="K357" s="140"/>
      <c r="L357" s="153">
        <v>0</v>
      </c>
      <c r="M357" s="140"/>
      <c r="N357" s="140"/>
      <c r="O357" s="140"/>
      <c r="P357" s="153">
        <f t="shared" si="51"/>
        <v>0</v>
      </c>
      <c r="Q357" s="153">
        <f t="shared" si="51"/>
        <v>0</v>
      </c>
      <c r="R357" s="153">
        <f t="shared" si="51"/>
        <v>0</v>
      </c>
      <c r="S357" s="153">
        <f t="shared" si="51"/>
        <v>0</v>
      </c>
      <c r="T357" s="140"/>
      <c r="U357" s="140"/>
      <c r="V357" s="346"/>
    </row>
    <row r="358" spans="1:22" ht="12.75">
      <c r="A358" s="275"/>
      <c r="B358" s="23" t="s">
        <v>37</v>
      </c>
      <c r="C358" s="357"/>
      <c r="D358" s="346"/>
      <c r="E358" s="346"/>
      <c r="F358" s="346"/>
      <c r="G358" s="152">
        <v>0</v>
      </c>
      <c r="H358" s="140"/>
      <c r="I358" s="140"/>
      <c r="J358" s="140"/>
      <c r="K358" s="140"/>
      <c r="L358" s="152">
        <v>0</v>
      </c>
      <c r="M358" s="140"/>
      <c r="N358" s="140"/>
      <c r="O358" s="140"/>
      <c r="P358" s="152">
        <f t="shared" si="51"/>
        <v>0</v>
      </c>
      <c r="Q358" s="152">
        <f t="shared" si="51"/>
        <v>0</v>
      </c>
      <c r="R358" s="152">
        <f t="shared" si="51"/>
        <v>0</v>
      </c>
      <c r="S358" s="152">
        <f t="shared" si="51"/>
        <v>0</v>
      </c>
      <c r="T358" s="140"/>
      <c r="U358" s="140"/>
      <c r="V358" s="346"/>
    </row>
    <row r="359" spans="1:22" ht="12.75">
      <c r="A359" s="275"/>
      <c r="B359" s="23" t="s">
        <v>38</v>
      </c>
      <c r="C359" s="358"/>
      <c r="D359" s="345"/>
      <c r="E359" s="345"/>
      <c r="F359" s="345"/>
      <c r="G359" s="152">
        <v>0</v>
      </c>
      <c r="H359" s="140"/>
      <c r="I359" s="140"/>
      <c r="J359" s="140"/>
      <c r="K359" s="140"/>
      <c r="L359" s="152">
        <v>0</v>
      </c>
      <c r="M359" s="140"/>
      <c r="N359" s="140"/>
      <c r="O359" s="140"/>
      <c r="P359" s="152">
        <f t="shared" si="51"/>
        <v>0</v>
      </c>
      <c r="Q359" s="152">
        <f t="shared" si="51"/>
        <v>0</v>
      </c>
      <c r="R359" s="152">
        <f t="shared" si="51"/>
        <v>0</v>
      </c>
      <c r="S359" s="152">
        <f t="shared" si="51"/>
        <v>0</v>
      </c>
      <c r="T359" s="140"/>
      <c r="U359" s="140"/>
      <c r="V359" s="345"/>
    </row>
    <row r="360" spans="1:22" ht="39.75" customHeight="1">
      <c r="A360" s="274" t="s">
        <v>99</v>
      </c>
      <c r="B360" s="53" t="s">
        <v>210</v>
      </c>
      <c r="C360" s="289" t="s">
        <v>58</v>
      </c>
      <c r="D360" s="286" t="s">
        <v>51</v>
      </c>
      <c r="E360" s="258"/>
      <c r="F360" s="283"/>
      <c r="G360" s="25">
        <f>G361+G364+G366+G370+G371</f>
        <v>318</v>
      </c>
      <c r="H360" s="25">
        <f>H361+H364+H366+H370+H371</f>
        <v>318</v>
      </c>
      <c r="I360" s="25">
        <f>I361+I364+I366+I370+I371</f>
        <v>265</v>
      </c>
      <c r="J360" s="25">
        <f>J361+J364+J366+J370+J371</f>
        <v>265</v>
      </c>
      <c r="K360" s="25">
        <f>K361+K364+K366+K370+K371</f>
        <v>265</v>
      </c>
      <c r="L360" s="25">
        <v>0</v>
      </c>
      <c r="M360" s="25">
        <v>0</v>
      </c>
      <c r="N360" s="25">
        <v>0</v>
      </c>
      <c r="O360" s="25">
        <v>0</v>
      </c>
      <c r="P360" s="25">
        <f>H360+L360</f>
        <v>318</v>
      </c>
      <c r="Q360" s="25">
        <f>I360+M360</f>
        <v>265</v>
      </c>
      <c r="R360" s="25">
        <f>J360+N360</f>
        <v>265</v>
      </c>
      <c r="S360" s="25">
        <f>K360+O360</f>
        <v>265</v>
      </c>
      <c r="T360" s="26"/>
      <c r="U360" s="26"/>
      <c r="V360" s="288"/>
    </row>
    <row r="361" spans="1:22" ht="12.75">
      <c r="A361" s="275"/>
      <c r="B361" s="22" t="s">
        <v>127</v>
      </c>
      <c r="C361" s="290"/>
      <c r="D361" s="287"/>
      <c r="E361" s="346"/>
      <c r="F361" s="284"/>
      <c r="G361" s="256">
        <f>SUM(H361)</f>
        <v>318</v>
      </c>
      <c r="H361" s="256">
        <v>318</v>
      </c>
      <c r="I361" s="256">
        <f>SUM(I363)</f>
        <v>265</v>
      </c>
      <c r="J361" s="256">
        <f>SUM(J363)</f>
        <v>265</v>
      </c>
      <c r="K361" s="256">
        <f>SUM(K363)</f>
        <v>265</v>
      </c>
      <c r="L361" s="419">
        <v>0</v>
      </c>
      <c r="M361" s="134"/>
      <c r="N361" s="134"/>
      <c r="O361" s="134"/>
      <c r="P361" s="256">
        <f aca="true" t="shared" si="52" ref="P361:S362">H361+L361</f>
        <v>318</v>
      </c>
      <c r="Q361" s="256">
        <f t="shared" si="52"/>
        <v>265</v>
      </c>
      <c r="R361" s="256">
        <f t="shared" si="52"/>
        <v>265</v>
      </c>
      <c r="S361" s="256">
        <f t="shared" si="52"/>
        <v>265</v>
      </c>
      <c r="T361" s="256"/>
      <c r="U361" s="256"/>
      <c r="V361" s="287"/>
    </row>
    <row r="362" spans="1:22" ht="12.75">
      <c r="A362" s="275"/>
      <c r="B362" s="40" t="s">
        <v>27</v>
      </c>
      <c r="C362" s="290"/>
      <c r="D362" s="287"/>
      <c r="E362" s="346"/>
      <c r="F362" s="284"/>
      <c r="G362" s="345"/>
      <c r="H362" s="273"/>
      <c r="I362" s="273"/>
      <c r="J362" s="273"/>
      <c r="K362" s="273"/>
      <c r="L362" s="246"/>
      <c r="M362" s="136"/>
      <c r="N362" s="136"/>
      <c r="O362" s="136"/>
      <c r="P362" s="273">
        <f t="shared" si="52"/>
        <v>0</v>
      </c>
      <c r="Q362" s="273">
        <f t="shared" si="52"/>
        <v>0</v>
      </c>
      <c r="R362" s="273">
        <f t="shared" si="52"/>
        <v>0</v>
      </c>
      <c r="S362" s="273">
        <f t="shared" si="52"/>
        <v>0</v>
      </c>
      <c r="T362" s="273"/>
      <c r="U362" s="273"/>
      <c r="V362" s="287"/>
    </row>
    <row r="363" spans="1:22" s="187" customFormat="1" ht="12.75" customHeight="1" hidden="1">
      <c r="A363" s="275"/>
      <c r="B363" s="115" t="s">
        <v>172</v>
      </c>
      <c r="C363" s="290"/>
      <c r="D363" s="287"/>
      <c r="E363" s="346"/>
      <c r="F363" s="284"/>
      <c r="G363" s="186"/>
      <c r="H363" s="116"/>
      <c r="I363" s="117">
        <v>265</v>
      </c>
      <c r="J363" s="117">
        <f>132.5+132.5</f>
        <v>265</v>
      </c>
      <c r="K363" s="117">
        <f>132.5+132.5</f>
        <v>265</v>
      </c>
      <c r="L363" s="117"/>
      <c r="M363" s="117"/>
      <c r="N363" s="117"/>
      <c r="O363" s="117"/>
      <c r="P363" s="152">
        <f>H363+L363</f>
        <v>0</v>
      </c>
      <c r="Q363" s="152">
        <f>I363+M363</f>
        <v>265</v>
      </c>
      <c r="R363" s="152">
        <f>J363+N363</f>
        <v>265</v>
      </c>
      <c r="S363" s="152">
        <f>K363+O363</f>
        <v>265</v>
      </c>
      <c r="T363" s="116"/>
      <c r="U363" s="116"/>
      <c r="V363" s="287"/>
    </row>
    <row r="364" spans="1:22" ht="12.75">
      <c r="A364" s="275"/>
      <c r="B364" s="23" t="s">
        <v>29</v>
      </c>
      <c r="C364" s="290"/>
      <c r="D364" s="287"/>
      <c r="E364" s="346"/>
      <c r="F364" s="284"/>
      <c r="G364" s="152">
        <v>0</v>
      </c>
      <c r="H364" s="136"/>
      <c r="I364" s="136"/>
      <c r="J364" s="136"/>
      <c r="K364" s="136"/>
      <c r="L364" s="152">
        <v>0</v>
      </c>
      <c r="M364" s="136"/>
      <c r="N364" s="136"/>
      <c r="O364" s="136"/>
      <c r="P364" s="153">
        <f aca="true" t="shared" si="53" ref="P364:S371">H364+L364</f>
        <v>0</v>
      </c>
      <c r="Q364" s="153">
        <f t="shared" si="53"/>
        <v>0</v>
      </c>
      <c r="R364" s="153">
        <f t="shared" si="53"/>
        <v>0</v>
      </c>
      <c r="S364" s="153">
        <f t="shared" si="53"/>
        <v>0</v>
      </c>
      <c r="T364" s="136"/>
      <c r="U364" s="136"/>
      <c r="V364" s="287"/>
    </row>
    <row r="365" spans="1:22" ht="12.75">
      <c r="A365" s="275"/>
      <c r="B365" s="44" t="s">
        <v>39</v>
      </c>
      <c r="C365" s="290"/>
      <c r="D365" s="287"/>
      <c r="E365" s="346"/>
      <c r="F365" s="284"/>
      <c r="G365" s="153">
        <v>0</v>
      </c>
      <c r="H365" s="136"/>
      <c r="I365" s="136"/>
      <c r="J365" s="136"/>
      <c r="K365" s="136"/>
      <c r="L365" s="153">
        <v>0</v>
      </c>
      <c r="M365" s="136"/>
      <c r="N365" s="136"/>
      <c r="O365" s="136"/>
      <c r="P365" s="153">
        <f t="shared" si="53"/>
        <v>0</v>
      </c>
      <c r="Q365" s="153">
        <f t="shared" si="53"/>
        <v>0</v>
      </c>
      <c r="R365" s="153">
        <f t="shared" si="53"/>
        <v>0</v>
      </c>
      <c r="S365" s="153">
        <f t="shared" si="53"/>
        <v>0</v>
      </c>
      <c r="T365" s="136"/>
      <c r="U365" s="136"/>
      <c r="V365" s="287"/>
    </row>
    <row r="366" spans="1:22" ht="12.75">
      <c r="A366" s="275"/>
      <c r="B366" s="23" t="s">
        <v>30</v>
      </c>
      <c r="C366" s="290"/>
      <c r="D366" s="287"/>
      <c r="E366" s="346"/>
      <c r="F366" s="284"/>
      <c r="G366" s="152">
        <v>0</v>
      </c>
      <c r="H366" s="136"/>
      <c r="I366" s="136"/>
      <c r="J366" s="136"/>
      <c r="K366" s="136"/>
      <c r="L366" s="152">
        <v>0</v>
      </c>
      <c r="M366" s="136"/>
      <c r="N366" s="136"/>
      <c r="O366" s="136"/>
      <c r="P366" s="152">
        <f t="shared" si="53"/>
        <v>0</v>
      </c>
      <c r="Q366" s="152">
        <f t="shared" si="53"/>
        <v>0</v>
      </c>
      <c r="R366" s="152">
        <f t="shared" si="53"/>
        <v>0</v>
      </c>
      <c r="S366" s="152">
        <f t="shared" si="53"/>
        <v>0</v>
      </c>
      <c r="T366" s="136"/>
      <c r="U366" s="136"/>
      <c r="V366" s="287"/>
    </row>
    <row r="367" spans="1:22" ht="12.75">
      <c r="A367" s="275"/>
      <c r="B367" s="44" t="s">
        <v>41</v>
      </c>
      <c r="C367" s="357"/>
      <c r="D367" s="346"/>
      <c r="E367" s="346"/>
      <c r="F367" s="346"/>
      <c r="G367" s="153">
        <v>0</v>
      </c>
      <c r="H367" s="140"/>
      <c r="I367" s="140"/>
      <c r="J367" s="140"/>
      <c r="K367" s="140"/>
      <c r="L367" s="153">
        <v>0</v>
      </c>
      <c r="M367" s="140"/>
      <c r="N367" s="140"/>
      <c r="O367" s="140"/>
      <c r="P367" s="153">
        <f t="shared" si="53"/>
        <v>0</v>
      </c>
      <c r="Q367" s="153">
        <f t="shared" si="53"/>
        <v>0</v>
      </c>
      <c r="R367" s="153">
        <f t="shared" si="53"/>
        <v>0</v>
      </c>
      <c r="S367" s="153">
        <f t="shared" si="53"/>
        <v>0</v>
      </c>
      <c r="T367" s="140"/>
      <c r="U367" s="140"/>
      <c r="V367" s="346"/>
    </row>
    <row r="368" spans="1:22" ht="12.75">
      <c r="A368" s="275"/>
      <c r="B368" s="41" t="s">
        <v>32</v>
      </c>
      <c r="C368" s="357"/>
      <c r="D368" s="346"/>
      <c r="E368" s="346"/>
      <c r="F368" s="346"/>
      <c r="G368" s="153">
        <v>0</v>
      </c>
      <c r="H368" s="140"/>
      <c r="I368" s="140"/>
      <c r="J368" s="140"/>
      <c r="K368" s="140"/>
      <c r="L368" s="153">
        <v>0</v>
      </c>
      <c r="M368" s="140"/>
      <c r="N368" s="140"/>
      <c r="O368" s="140"/>
      <c r="P368" s="153">
        <f t="shared" si="53"/>
        <v>0</v>
      </c>
      <c r="Q368" s="153">
        <f t="shared" si="53"/>
        <v>0</v>
      </c>
      <c r="R368" s="153">
        <f t="shared" si="53"/>
        <v>0</v>
      </c>
      <c r="S368" s="153">
        <f t="shared" si="53"/>
        <v>0</v>
      </c>
      <c r="T368" s="140"/>
      <c r="U368" s="140"/>
      <c r="V368" s="346"/>
    </row>
    <row r="369" spans="1:22" ht="12.75">
      <c r="A369" s="275"/>
      <c r="B369" s="41" t="s">
        <v>33</v>
      </c>
      <c r="C369" s="357"/>
      <c r="D369" s="346"/>
      <c r="E369" s="346"/>
      <c r="F369" s="346"/>
      <c r="G369" s="153">
        <v>0</v>
      </c>
      <c r="H369" s="140"/>
      <c r="I369" s="140"/>
      <c r="J369" s="140"/>
      <c r="K369" s="140"/>
      <c r="L369" s="153">
        <v>0</v>
      </c>
      <c r="M369" s="140"/>
      <c r="N369" s="140"/>
      <c r="O369" s="140"/>
      <c r="P369" s="153">
        <f t="shared" si="53"/>
        <v>0</v>
      </c>
      <c r="Q369" s="153">
        <f t="shared" si="53"/>
        <v>0</v>
      </c>
      <c r="R369" s="153">
        <f t="shared" si="53"/>
        <v>0</v>
      </c>
      <c r="S369" s="153">
        <f t="shared" si="53"/>
        <v>0</v>
      </c>
      <c r="T369" s="140"/>
      <c r="U369" s="140"/>
      <c r="V369" s="346"/>
    </row>
    <row r="370" spans="1:22" ht="12.75">
      <c r="A370" s="275"/>
      <c r="B370" s="23" t="s">
        <v>37</v>
      </c>
      <c r="C370" s="357"/>
      <c r="D370" s="346"/>
      <c r="E370" s="346"/>
      <c r="F370" s="346"/>
      <c r="G370" s="152">
        <v>0</v>
      </c>
      <c r="H370" s="140"/>
      <c r="I370" s="140"/>
      <c r="J370" s="140"/>
      <c r="K370" s="140"/>
      <c r="L370" s="152">
        <v>0</v>
      </c>
      <c r="M370" s="140"/>
      <c r="N370" s="140"/>
      <c r="O370" s="140"/>
      <c r="P370" s="152">
        <f t="shared" si="53"/>
        <v>0</v>
      </c>
      <c r="Q370" s="152">
        <f t="shared" si="53"/>
        <v>0</v>
      </c>
      <c r="R370" s="152">
        <f t="shared" si="53"/>
        <v>0</v>
      </c>
      <c r="S370" s="152">
        <f t="shared" si="53"/>
        <v>0</v>
      </c>
      <c r="T370" s="140"/>
      <c r="U370" s="140"/>
      <c r="V370" s="346"/>
    </row>
    <row r="371" spans="1:22" ht="12.75">
      <c r="A371" s="275"/>
      <c r="B371" s="23" t="s">
        <v>38</v>
      </c>
      <c r="C371" s="358"/>
      <c r="D371" s="345"/>
      <c r="E371" s="345"/>
      <c r="F371" s="345"/>
      <c r="G371" s="152">
        <v>0</v>
      </c>
      <c r="H371" s="140"/>
      <c r="I371" s="140"/>
      <c r="J371" s="140"/>
      <c r="K371" s="140"/>
      <c r="L371" s="152">
        <v>0</v>
      </c>
      <c r="M371" s="140"/>
      <c r="N371" s="140"/>
      <c r="O371" s="140"/>
      <c r="P371" s="152">
        <f t="shared" si="53"/>
        <v>0</v>
      </c>
      <c r="Q371" s="152">
        <f t="shared" si="53"/>
        <v>0</v>
      </c>
      <c r="R371" s="152">
        <f t="shared" si="53"/>
        <v>0</v>
      </c>
      <c r="S371" s="152">
        <f t="shared" si="53"/>
        <v>0</v>
      </c>
      <c r="T371" s="140"/>
      <c r="U371" s="140"/>
      <c r="V371" s="345"/>
    </row>
    <row r="372" spans="1:22" ht="38.25">
      <c r="A372" s="274" t="s">
        <v>100</v>
      </c>
      <c r="B372" s="36" t="s">
        <v>80</v>
      </c>
      <c r="C372" s="289" t="s">
        <v>58</v>
      </c>
      <c r="D372" s="286" t="s">
        <v>51</v>
      </c>
      <c r="E372" s="258">
        <v>1.15</v>
      </c>
      <c r="F372" s="283" t="s">
        <v>18</v>
      </c>
      <c r="G372" s="25">
        <f>G373+G375+G377+G381+G382</f>
        <v>5403.1</v>
      </c>
      <c r="H372" s="25">
        <f>H373+H375+H377+H381+H382</f>
        <v>0</v>
      </c>
      <c r="I372" s="26"/>
      <c r="J372" s="26"/>
      <c r="K372" s="26"/>
      <c r="L372" s="26">
        <v>0</v>
      </c>
      <c r="M372" s="26">
        <v>0</v>
      </c>
      <c r="N372" s="26">
        <v>0</v>
      </c>
      <c r="O372" s="26">
        <v>0</v>
      </c>
      <c r="P372" s="25">
        <f>H372+L372</f>
        <v>0</v>
      </c>
      <c r="Q372" s="25">
        <f>I372+M372</f>
        <v>0</v>
      </c>
      <c r="R372" s="25">
        <f>J372+N372</f>
        <v>0</v>
      </c>
      <c r="S372" s="25">
        <f>K372+O372</f>
        <v>0</v>
      </c>
      <c r="T372" s="26"/>
      <c r="U372" s="26"/>
      <c r="V372" s="288"/>
    </row>
    <row r="373" spans="1:22" ht="12.75">
      <c r="A373" s="275"/>
      <c r="B373" s="22" t="s">
        <v>127</v>
      </c>
      <c r="C373" s="290"/>
      <c r="D373" s="287"/>
      <c r="E373" s="346"/>
      <c r="F373" s="284"/>
      <c r="G373" s="256">
        <v>5403.1</v>
      </c>
      <c r="H373" s="256"/>
      <c r="I373" s="134"/>
      <c r="J373" s="134"/>
      <c r="K373" s="134"/>
      <c r="L373" s="256">
        <v>0</v>
      </c>
      <c r="M373" s="134"/>
      <c r="N373" s="134"/>
      <c r="O373" s="134"/>
      <c r="P373" s="256">
        <f aca="true" t="shared" si="54" ref="P373:S374">H373+L373</f>
        <v>0</v>
      </c>
      <c r="Q373" s="256">
        <f t="shared" si="54"/>
        <v>0</v>
      </c>
      <c r="R373" s="256">
        <f t="shared" si="54"/>
        <v>0</v>
      </c>
      <c r="S373" s="256">
        <f t="shared" si="54"/>
        <v>0</v>
      </c>
      <c r="T373" s="256"/>
      <c r="U373" s="256">
        <v>5403.1</v>
      </c>
      <c r="V373" s="287"/>
    </row>
    <row r="374" spans="1:22" ht="12.75">
      <c r="A374" s="275"/>
      <c r="B374" s="40" t="s">
        <v>27</v>
      </c>
      <c r="C374" s="290"/>
      <c r="D374" s="287"/>
      <c r="E374" s="346"/>
      <c r="F374" s="284"/>
      <c r="G374" s="345"/>
      <c r="H374" s="273"/>
      <c r="I374" s="136"/>
      <c r="J374" s="136"/>
      <c r="K374" s="136"/>
      <c r="L374" s="273"/>
      <c r="M374" s="136"/>
      <c r="N374" s="136"/>
      <c r="O374" s="136"/>
      <c r="P374" s="273">
        <f t="shared" si="54"/>
        <v>0</v>
      </c>
      <c r="Q374" s="273">
        <f t="shared" si="54"/>
        <v>0</v>
      </c>
      <c r="R374" s="273">
        <f t="shared" si="54"/>
        <v>0</v>
      </c>
      <c r="S374" s="273">
        <f t="shared" si="54"/>
        <v>0</v>
      </c>
      <c r="T374" s="273"/>
      <c r="U374" s="273"/>
      <c r="V374" s="287"/>
    </row>
    <row r="375" spans="1:22" ht="12.75">
      <c r="A375" s="275"/>
      <c r="B375" s="23" t="s">
        <v>29</v>
      </c>
      <c r="C375" s="290"/>
      <c r="D375" s="287"/>
      <c r="E375" s="346"/>
      <c r="F375" s="284"/>
      <c r="G375" s="152">
        <v>0</v>
      </c>
      <c r="H375" s="136"/>
      <c r="I375" s="136"/>
      <c r="J375" s="136"/>
      <c r="K375" s="136"/>
      <c r="L375" s="152">
        <v>0</v>
      </c>
      <c r="M375" s="136"/>
      <c r="N375" s="136"/>
      <c r="O375" s="136"/>
      <c r="P375" s="152">
        <f>H375+L375</f>
        <v>0</v>
      </c>
      <c r="Q375" s="152">
        <f>I375+M375</f>
        <v>0</v>
      </c>
      <c r="R375" s="152">
        <f>J375+N375</f>
        <v>0</v>
      </c>
      <c r="S375" s="152">
        <f>K375+O375</f>
        <v>0</v>
      </c>
      <c r="T375" s="136"/>
      <c r="U375" s="136"/>
      <c r="V375" s="287"/>
    </row>
    <row r="376" spans="1:22" ht="12.75">
      <c r="A376" s="275"/>
      <c r="B376" s="44" t="s">
        <v>39</v>
      </c>
      <c r="C376" s="290"/>
      <c r="D376" s="287"/>
      <c r="E376" s="346"/>
      <c r="F376" s="284"/>
      <c r="G376" s="153">
        <v>0</v>
      </c>
      <c r="H376" s="136"/>
      <c r="I376" s="136"/>
      <c r="J376" s="136"/>
      <c r="K376" s="136"/>
      <c r="L376" s="153">
        <v>0</v>
      </c>
      <c r="M376" s="136"/>
      <c r="N376" s="136"/>
      <c r="O376" s="136"/>
      <c r="P376" s="153">
        <f aca="true" t="shared" si="55" ref="P376:S382">H376+L376</f>
        <v>0</v>
      </c>
      <c r="Q376" s="153">
        <f t="shared" si="55"/>
        <v>0</v>
      </c>
      <c r="R376" s="153">
        <f t="shared" si="55"/>
        <v>0</v>
      </c>
      <c r="S376" s="153">
        <f t="shared" si="55"/>
        <v>0</v>
      </c>
      <c r="T376" s="136"/>
      <c r="U376" s="136"/>
      <c r="V376" s="287"/>
    </row>
    <row r="377" spans="1:22" ht="12.75">
      <c r="A377" s="275"/>
      <c r="B377" s="23" t="s">
        <v>30</v>
      </c>
      <c r="C377" s="290"/>
      <c r="D377" s="287"/>
      <c r="E377" s="346"/>
      <c r="F377" s="284"/>
      <c r="G377" s="152">
        <v>0</v>
      </c>
      <c r="H377" s="136"/>
      <c r="I377" s="136"/>
      <c r="J377" s="136"/>
      <c r="K377" s="136"/>
      <c r="L377" s="152">
        <v>0</v>
      </c>
      <c r="M377" s="136"/>
      <c r="N377" s="136"/>
      <c r="O377" s="136"/>
      <c r="P377" s="152">
        <f t="shared" si="55"/>
        <v>0</v>
      </c>
      <c r="Q377" s="152">
        <f t="shared" si="55"/>
        <v>0</v>
      </c>
      <c r="R377" s="152">
        <f t="shared" si="55"/>
        <v>0</v>
      </c>
      <c r="S377" s="152">
        <f t="shared" si="55"/>
        <v>0</v>
      </c>
      <c r="T377" s="136"/>
      <c r="U377" s="136"/>
      <c r="V377" s="287"/>
    </row>
    <row r="378" spans="1:22" ht="12.75">
      <c r="A378" s="275"/>
      <c r="B378" s="44" t="s">
        <v>41</v>
      </c>
      <c r="C378" s="357"/>
      <c r="D378" s="346"/>
      <c r="E378" s="346"/>
      <c r="F378" s="346"/>
      <c r="G378" s="153">
        <v>0</v>
      </c>
      <c r="H378" s="140"/>
      <c r="I378" s="140"/>
      <c r="J378" s="140"/>
      <c r="K378" s="140"/>
      <c r="L378" s="153">
        <v>0</v>
      </c>
      <c r="M378" s="140"/>
      <c r="N378" s="140"/>
      <c r="O378" s="140"/>
      <c r="P378" s="153">
        <f t="shared" si="55"/>
        <v>0</v>
      </c>
      <c r="Q378" s="153">
        <f t="shared" si="55"/>
        <v>0</v>
      </c>
      <c r="R378" s="153">
        <f t="shared" si="55"/>
        <v>0</v>
      </c>
      <c r="S378" s="153">
        <f t="shared" si="55"/>
        <v>0</v>
      </c>
      <c r="T378" s="140"/>
      <c r="U378" s="140"/>
      <c r="V378" s="346"/>
    </row>
    <row r="379" spans="1:22" ht="12.75">
      <c r="A379" s="275"/>
      <c r="B379" s="41" t="s">
        <v>32</v>
      </c>
      <c r="C379" s="357"/>
      <c r="D379" s="346"/>
      <c r="E379" s="346"/>
      <c r="F379" s="346"/>
      <c r="G379" s="153">
        <v>0</v>
      </c>
      <c r="H379" s="140"/>
      <c r="I379" s="140"/>
      <c r="J379" s="140"/>
      <c r="K379" s="140"/>
      <c r="L379" s="153">
        <v>0</v>
      </c>
      <c r="M379" s="140"/>
      <c r="N379" s="140"/>
      <c r="O379" s="140"/>
      <c r="P379" s="153">
        <f t="shared" si="55"/>
        <v>0</v>
      </c>
      <c r="Q379" s="153">
        <f t="shared" si="55"/>
        <v>0</v>
      </c>
      <c r="R379" s="153">
        <f t="shared" si="55"/>
        <v>0</v>
      </c>
      <c r="S379" s="153">
        <f t="shared" si="55"/>
        <v>0</v>
      </c>
      <c r="T379" s="140"/>
      <c r="U379" s="140"/>
      <c r="V379" s="346"/>
    </row>
    <row r="380" spans="1:22" ht="12.75">
      <c r="A380" s="275"/>
      <c r="B380" s="41" t="s">
        <v>33</v>
      </c>
      <c r="C380" s="357"/>
      <c r="D380" s="346"/>
      <c r="E380" s="346"/>
      <c r="F380" s="346"/>
      <c r="G380" s="153">
        <v>0</v>
      </c>
      <c r="H380" s="140"/>
      <c r="I380" s="140"/>
      <c r="J380" s="140"/>
      <c r="K380" s="140"/>
      <c r="L380" s="153">
        <v>0</v>
      </c>
      <c r="M380" s="140"/>
      <c r="N380" s="140"/>
      <c r="O380" s="140"/>
      <c r="P380" s="153">
        <f t="shared" si="55"/>
        <v>0</v>
      </c>
      <c r="Q380" s="153">
        <f t="shared" si="55"/>
        <v>0</v>
      </c>
      <c r="R380" s="153">
        <f t="shared" si="55"/>
        <v>0</v>
      </c>
      <c r="S380" s="153">
        <f t="shared" si="55"/>
        <v>0</v>
      </c>
      <c r="T380" s="140"/>
      <c r="U380" s="140"/>
      <c r="V380" s="346"/>
    </row>
    <row r="381" spans="1:22" ht="12.75">
      <c r="A381" s="275"/>
      <c r="B381" s="23" t="s">
        <v>37</v>
      </c>
      <c r="C381" s="357"/>
      <c r="D381" s="346"/>
      <c r="E381" s="346"/>
      <c r="F381" s="346"/>
      <c r="G381" s="152">
        <v>0</v>
      </c>
      <c r="H381" s="140"/>
      <c r="I381" s="140"/>
      <c r="J381" s="140"/>
      <c r="K381" s="140"/>
      <c r="L381" s="152">
        <v>0</v>
      </c>
      <c r="M381" s="140"/>
      <c r="N381" s="140"/>
      <c r="O381" s="140"/>
      <c r="P381" s="152">
        <f t="shared" si="55"/>
        <v>0</v>
      </c>
      <c r="Q381" s="152">
        <f t="shared" si="55"/>
        <v>0</v>
      </c>
      <c r="R381" s="152">
        <f t="shared" si="55"/>
        <v>0</v>
      </c>
      <c r="S381" s="152">
        <f t="shared" si="55"/>
        <v>0</v>
      </c>
      <c r="T381" s="140"/>
      <c r="U381" s="140"/>
      <c r="V381" s="346"/>
    </row>
    <row r="382" spans="1:22" ht="12.75">
      <c r="A382" s="275"/>
      <c r="B382" s="23" t="s">
        <v>38</v>
      </c>
      <c r="C382" s="358"/>
      <c r="D382" s="345"/>
      <c r="E382" s="345"/>
      <c r="F382" s="345"/>
      <c r="G382" s="152">
        <v>0</v>
      </c>
      <c r="H382" s="140"/>
      <c r="I382" s="140"/>
      <c r="J382" s="140"/>
      <c r="K382" s="140"/>
      <c r="L382" s="152">
        <v>0</v>
      </c>
      <c r="M382" s="140"/>
      <c r="N382" s="140"/>
      <c r="O382" s="140"/>
      <c r="P382" s="152">
        <f t="shared" si="55"/>
        <v>0</v>
      </c>
      <c r="Q382" s="152">
        <f t="shared" si="55"/>
        <v>0</v>
      </c>
      <c r="R382" s="152">
        <f t="shared" si="55"/>
        <v>0</v>
      </c>
      <c r="S382" s="152">
        <f t="shared" si="55"/>
        <v>0</v>
      </c>
      <c r="T382" s="140"/>
      <c r="U382" s="140"/>
      <c r="V382" s="345"/>
    </row>
    <row r="383" spans="1:22" ht="39" customHeight="1">
      <c r="A383" s="274" t="s">
        <v>101</v>
      </c>
      <c r="B383" s="53" t="s">
        <v>79</v>
      </c>
      <c r="C383" s="289" t="s">
        <v>58</v>
      </c>
      <c r="D383" s="286" t="s">
        <v>51</v>
      </c>
      <c r="E383" s="258">
        <v>1.15</v>
      </c>
      <c r="F383" s="283" t="s">
        <v>18</v>
      </c>
      <c r="G383" s="25">
        <f>G384+G386+G388+G392+G393</f>
        <v>108061</v>
      </c>
      <c r="H383" s="25">
        <f>H384+H386+H388+H392+H393</f>
        <v>0</v>
      </c>
      <c r="I383" s="26"/>
      <c r="J383" s="26"/>
      <c r="K383" s="26"/>
      <c r="L383" s="25">
        <f>L384+L386+L388+L392+L393</f>
        <v>0</v>
      </c>
      <c r="M383" s="26">
        <v>0</v>
      </c>
      <c r="N383" s="26">
        <v>0</v>
      </c>
      <c r="O383" s="26">
        <v>0</v>
      </c>
      <c r="P383" s="25">
        <f>H383+L383</f>
        <v>0</v>
      </c>
      <c r="Q383" s="25">
        <f>I383+M383</f>
        <v>0</v>
      </c>
      <c r="R383" s="25">
        <f>J383+N383</f>
        <v>0</v>
      </c>
      <c r="S383" s="25">
        <f>K383+O383</f>
        <v>0</v>
      </c>
      <c r="T383" s="26"/>
      <c r="U383" s="26"/>
      <c r="V383" s="288"/>
    </row>
    <row r="384" spans="1:22" ht="12.75">
      <c r="A384" s="275"/>
      <c r="B384" s="22" t="s">
        <v>127</v>
      </c>
      <c r="C384" s="290"/>
      <c r="D384" s="287"/>
      <c r="E384" s="346"/>
      <c r="F384" s="284"/>
      <c r="G384" s="256">
        <v>108061</v>
      </c>
      <c r="H384" s="256"/>
      <c r="I384" s="134"/>
      <c r="J384" s="134"/>
      <c r="K384" s="134"/>
      <c r="L384" s="256">
        <f>D384+H384</f>
        <v>0</v>
      </c>
      <c r="M384" s="134"/>
      <c r="N384" s="134"/>
      <c r="O384" s="134"/>
      <c r="P384" s="256">
        <f aca="true" t="shared" si="56" ref="P384:S385">H384+L384</f>
        <v>0</v>
      </c>
      <c r="Q384" s="256">
        <f t="shared" si="56"/>
        <v>0</v>
      </c>
      <c r="R384" s="256">
        <f t="shared" si="56"/>
        <v>0</v>
      </c>
      <c r="S384" s="256">
        <f t="shared" si="56"/>
        <v>0</v>
      </c>
      <c r="T384" s="256"/>
      <c r="U384" s="256">
        <v>108061</v>
      </c>
      <c r="V384" s="287"/>
    </row>
    <row r="385" spans="1:22" ht="12.75">
      <c r="A385" s="275"/>
      <c r="B385" s="40" t="s">
        <v>27</v>
      </c>
      <c r="C385" s="290"/>
      <c r="D385" s="287"/>
      <c r="E385" s="346"/>
      <c r="F385" s="284"/>
      <c r="G385" s="345"/>
      <c r="H385" s="273"/>
      <c r="I385" s="136"/>
      <c r="J385" s="136"/>
      <c r="K385" s="136"/>
      <c r="L385" s="273">
        <f>D385+H385</f>
        <v>0</v>
      </c>
      <c r="M385" s="136"/>
      <c r="N385" s="136"/>
      <c r="O385" s="136"/>
      <c r="P385" s="273">
        <f t="shared" si="56"/>
        <v>0</v>
      </c>
      <c r="Q385" s="273">
        <f t="shared" si="56"/>
        <v>0</v>
      </c>
      <c r="R385" s="273">
        <f t="shared" si="56"/>
        <v>0</v>
      </c>
      <c r="S385" s="273">
        <f t="shared" si="56"/>
        <v>0</v>
      </c>
      <c r="T385" s="273"/>
      <c r="U385" s="273"/>
      <c r="V385" s="287"/>
    </row>
    <row r="386" spans="1:22" ht="12.75">
      <c r="A386" s="275"/>
      <c r="B386" s="23" t="s">
        <v>29</v>
      </c>
      <c r="C386" s="290"/>
      <c r="D386" s="287"/>
      <c r="E386" s="346"/>
      <c r="F386" s="284"/>
      <c r="G386" s="152">
        <v>0</v>
      </c>
      <c r="H386" s="136"/>
      <c r="I386" s="136"/>
      <c r="J386" s="136"/>
      <c r="K386" s="136"/>
      <c r="L386" s="152">
        <v>0</v>
      </c>
      <c r="M386" s="136"/>
      <c r="N386" s="136"/>
      <c r="O386" s="136"/>
      <c r="P386" s="152">
        <f>H386+L386</f>
        <v>0</v>
      </c>
      <c r="Q386" s="152">
        <f>I386+M386</f>
        <v>0</v>
      </c>
      <c r="R386" s="152">
        <f>J386+N386</f>
        <v>0</v>
      </c>
      <c r="S386" s="152">
        <f>K386+O386</f>
        <v>0</v>
      </c>
      <c r="T386" s="136"/>
      <c r="U386" s="136"/>
      <c r="V386" s="287"/>
    </row>
    <row r="387" spans="1:22" ht="12.75">
      <c r="A387" s="275"/>
      <c r="B387" s="44" t="s">
        <v>39</v>
      </c>
      <c r="C387" s="290"/>
      <c r="D387" s="287"/>
      <c r="E387" s="346"/>
      <c r="F387" s="284"/>
      <c r="G387" s="153">
        <v>0</v>
      </c>
      <c r="H387" s="136"/>
      <c r="I387" s="136"/>
      <c r="J387" s="136"/>
      <c r="K387" s="136"/>
      <c r="L387" s="153">
        <v>0</v>
      </c>
      <c r="M387" s="136"/>
      <c r="N387" s="136"/>
      <c r="O387" s="136"/>
      <c r="P387" s="153">
        <f aca="true" t="shared" si="57" ref="P387:S393">H387+L387</f>
        <v>0</v>
      </c>
      <c r="Q387" s="153">
        <f t="shared" si="57"/>
        <v>0</v>
      </c>
      <c r="R387" s="153">
        <f t="shared" si="57"/>
        <v>0</v>
      </c>
      <c r="S387" s="153">
        <f t="shared" si="57"/>
        <v>0</v>
      </c>
      <c r="T387" s="136"/>
      <c r="U387" s="136"/>
      <c r="V387" s="287"/>
    </row>
    <row r="388" spans="1:22" ht="12.75">
      <c r="A388" s="275"/>
      <c r="B388" s="23" t="s">
        <v>30</v>
      </c>
      <c r="C388" s="290"/>
      <c r="D388" s="287"/>
      <c r="E388" s="346"/>
      <c r="F388" s="284"/>
      <c r="G388" s="152">
        <v>0</v>
      </c>
      <c r="H388" s="136"/>
      <c r="I388" s="136"/>
      <c r="J388" s="136"/>
      <c r="K388" s="136"/>
      <c r="L388" s="152">
        <v>0</v>
      </c>
      <c r="M388" s="136"/>
      <c r="N388" s="136"/>
      <c r="O388" s="136"/>
      <c r="P388" s="152">
        <f t="shared" si="57"/>
        <v>0</v>
      </c>
      <c r="Q388" s="152">
        <f t="shared" si="57"/>
        <v>0</v>
      </c>
      <c r="R388" s="152">
        <f t="shared" si="57"/>
        <v>0</v>
      </c>
      <c r="S388" s="152">
        <f t="shared" si="57"/>
        <v>0</v>
      </c>
      <c r="T388" s="136"/>
      <c r="U388" s="136"/>
      <c r="V388" s="287"/>
    </row>
    <row r="389" spans="1:22" ht="12.75">
      <c r="A389" s="275"/>
      <c r="B389" s="44" t="s">
        <v>41</v>
      </c>
      <c r="C389" s="357"/>
      <c r="D389" s="346"/>
      <c r="E389" s="346"/>
      <c r="F389" s="346"/>
      <c r="G389" s="153">
        <v>0</v>
      </c>
      <c r="H389" s="140"/>
      <c r="I389" s="140"/>
      <c r="J389" s="140"/>
      <c r="K389" s="140"/>
      <c r="L389" s="153">
        <v>0</v>
      </c>
      <c r="M389" s="140"/>
      <c r="N389" s="140"/>
      <c r="O389" s="140"/>
      <c r="P389" s="153">
        <f t="shared" si="57"/>
        <v>0</v>
      </c>
      <c r="Q389" s="153">
        <f t="shared" si="57"/>
        <v>0</v>
      </c>
      <c r="R389" s="153">
        <f t="shared" si="57"/>
        <v>0</v>
      </c>
      <c r="S389" s="153">
        <f t="shared" si="57"/>
        <v>0</v>
      </c>
      <c r="T389" s="140"/>
      <c r="U389" s="140"/>
      <c r="V389" s="346"/>
    </row>
    <row r="390" spans="1:22" ht="12.75">
      <c r="A390" s="275"/>
      <c r="B390" s="41" t="s">
        <v>32</v>
      </c>
      <c r="C390" s="357"/>
      <c r="D390" s="346"/>
      <c r="E390" s="346"/>
      <c r="F390" s="346"/>
      <c r="G390" s="153">
        <v>0</v>
      </c>
      <c r="H390" s="140"/>
      <c r="I390" s="140"/>
      <c r="J390" s="140"/>
      <c r="K390" s="140"/>
      <c r="L390" s="153">
        <v>0</v>
      </c>
      <c r="M390" s="140"/>
      <c r="N390" s="140"/>
      <c r="O390" s="140"/>
      <c r="P390" s="153">
        <f t="shared" si="57"/>
        <v>0</v>
      </c>
      <c r="Q390" s="153">
        <f t="shared" si="57"/>
        <v>0</v>
      </c>
      <c r="R390" s="153">
        <f t="shared" si="57"/>
        <v>0</v>
      </c>
      <c r="S390" s="153">
        <f t="shared" si="57"/>
        <v>0</v>
      </c>
      <c r="T390" s="140"/>
      <c r="U390" s="140"/>
      <c r="V390" s="346"/>
    </row>
    <row r="391" spans="1:22" ht="12.75">
      <c r="A391" s="275"/>
      <c r="B391" s="41" t="s">
        <v>33</v>
      </c>
      <c r="C391" s="357"/>
      <c r="D391" s="346"/>
      <c r="E391" s="346"/>
      <c r="F391" s="346"/>
      <c r="G391" s="153">
        <v>0</v>
      </c>
      <c r="H391" s="140"/>
      <c r="I391" s="140"/>
      <c r="J391" s="140"/>
      <c r="K391" s="140"/>
      <c r="L391" s="153">
        <v>0</v>
      </c>
      <c r="M391" s="140"/>
      <c r="N391" s="140"/>
      <c r="O391" s="140"/>
      <c r="P391" s="153">
        <f t="shared" si="57"/>
        <v>0</v>
      </c>
      <c r="Q391" s="153">
        <f t="shared" si="57"/>
        <v>0</v>
      </c>
      <c r="R391" s="153">
        <f t="shared" si="57"/>
        <v>0</v>
      </c>
      <c r="S391" s="153">
        <f t="shared" si="57"/>
        <v>0</v>
      </c>
      <c r="T391" s="140"/>
      <c r="U391" s="140"/>
      <c r="V391" s="346"/>
    </row>
    <row r="392" spans="1:22" ht="12.75">
      <c r="A392" s="275"/>
      <c r="B392" s="23" t="s">
        <v>37</v>
      </c>
      <c r="C392" s="357"/>
      <c r="D392" s="346"/>
      <c r="E392" s="346"/>
      <c r="F392" s="346"/>
      <c r="G392" s="152">
        <v>0</v>
      </c>
      <c r="H392" s="140"/>
      <c r="I392" s="140"/>
      <c r="J392" s="140"/>
      <c r="K392" s="140"/>
      <c r="L392" s="152">
        <v>0</v>
      </c>
      <c r="M392" s="140"/>
      <c r="N392" s="140"/>
      <c r="O392" s="140"/>
      <c r="P392" s="152">
        <f t="shared" si="57"/>
        <v>0</v>
      </c>
      <c r="Q392" s="152">
        <f t="shared" si="57"/>
        <v>0</v>
      </c>
      <c r="R392" s="152">
        <f t="shared" si="57"/>
        <v>0</v>
      </c>
      <c r="S392" s="152">
        <f t="shared" si="57"/>
        <v>0</v>
      </c>
      <c r="T392" s="140"/>
      <c r="U392" s="140"/>
      <c r="V392" s="346"/>
    </row>
    <row r="393" spans="1:22" ht="12.75">
      <c r="A393" s="275"/>
      <c r="B393" s="23" t="s">
        <v>38</v>
      </c>
      <c r="C393" s="358"/>
      <c r="D393" s="345"/>
      <c r="E393" s="345"/>
      <c r="F393" s="345"/>
      <c r="G393" s="152">
        <v>0</v>
      </c>
      <c r="H393" s="140"/>
      <c r="I393" s="140"/>
      <c r="J393" s="140"/>
      <c r="K393" s="140"/>
      <c r="L393" s="152">
        <v>0</v>
      </c>
      <c r="M393" s="140"/>
      <c r="N393" s="140"/>
      <c r="O393" s="140"/>
      <c r="P393" s="152">
        <f t="shared" si="57"/>
        <v>0</v>
      </c>
      <c r="Q393" s="152">
        <f t="shared" si="57"/>
        <v>0</v>
      </c>
      <c r="R393" s="152">
        <f t="shared" si="57"/>
        <v>0</v>
      </c>
      <c r="S393" s="152">
        <f t="shared" si="57"/>
        <v>0</v>
      </c>
      <c r="T393" s="140"/>
      <c r="U393" s="140"/>
      <c r="V393" s="345"/>
    </row>
    <row r="394" spans="1:22" ht="18.75" customHeight="1">
      <c r="A394" s="274" t="s">
        <v>102</v>
      </c>
      <c r="B394" s="36" t="s">
        <v>60</v>
      </c>
      <c r="C394" s="289" t="s">
        <v>43</v>
      </c>
      <c r="D394" s="286" t="s">
        <v>51</v>
      </c>
      <c r="E394" s="258">
        <v>20</v>
      </c>
      <c r="F394" s="283" t="s">
        <v>18</v>
      </c>
      <c r="G394" s="25">
        <f>G395+G397+G399+G403+G404</f>
        <v>8709.8</v>
      </c>
      <c r="H394" s="25">
        <f>H395+H397+H399+H403+H404</f>
        <v>0</v>
      </c>
      <c r="I394" s="26"/>
      <c r="J394" s="26"/>
      <c r="K394" s="26"/>
      <c r="L394" s="25">
        <f>L395+L397+L399+L403+L404</f>
        <v>791.8</v>
      </c>
      <c r="M394" s="26">
        <v>0</v>
      </c>
      <c r="N394" s="26">
        <v>0</v>
      </c>
      <c r="O394" s="26">
        <v>0</v>
      </c>
      <c r="P394" s="25">
        <f>H394+L394</f>
        <v>791.8</v>
      </c>
      <c r="Q394" s="25">
        <f>I394+M394</f>
        <v>0</v>
      </c>
      <c r="R394" s="25">
        <f>J394+N394</f>
        <v>0</v>
      </c>
      <c r="S394" s="25">
        <f>K394+O394</f>
        <v>0</v>
      </c>
      <c r="T394" s="26"/>
      <c r="U394" s="26"/>
      <c r="V394" s="288"/>
    </row>
    <row r="395" spans="1:22" ht="12.75">
      <c r="A395" s="275"/>
      <c r="B395" s="22" t="s">
        <v>127</v>
      </c>
      <c r="C395" s="290"/>
      <c r="D395" s="287"/>
      <c r="E395" s="346"/>
      <c r="F395" s="284"/>
      <c r="G395" s="256">
        <f>T395+U395</f>
        <v>8709.8</v>
      </c>
      <c r="H395" s="256"/>
      <c r="I395" s="134"/>
      <c r="J395" s="134"/>
      <c r="K395" s="134"/>
      <c r="L395" s="256">
        <v>791.8</v>
      </c>
      <c r="M395" s="134"/>
      <c r="N395" s="134"/>
      <c r="O395" s="134"/>
      <c r="P395" s="256">
        <f aca="true" t="shared" si="58" ref="P395:S396">H395+L395</f>
        <v>791.8</v>
      </c>
      <c r="Q395" s="256">
        <f t="shared" si="58"/>
        <v>0</v>
      </c>
      <c r="R395" s="256">
        <f t="shared" si="58"/>
        <v>0</v>
      </c>
      <c r="S395" s="256">
        <f t="shared" si="58"/>
        <v>0</v>
      </c>
      <c r="T395" s="256">
        <v>791.8</v>
      </c>
      <c r="U395" s="256">
        <v>7918</v>
      </c>
      <c r="V395" s="287"/>
    </row>
    <row r="396" spans="1:22" ht="12.75">
      <c r="A396" s="275"/>
      <c r="B396" s="40" t="s">
        <v>27</v>
      </c>
      <c r="C396" s="290"/>
      <c r="D396" s="287"/>
      <c r="E396" s="346"/>
      <c r="F396" s="284"/>
      <c r="G396" s="273"/>
      <c r="H396" s="273"/>
      <c r="I396" s="136"/>
      <c r="J396" s="136"/>
      <c r="K396" s="136"/>
      <c r="L396" s="273"/>
      <c r="M396" s="136"/>
      <c r="N396" s="136"/>
      <c r="O396" s="136"/>
      <c r="P396" s="273">
        <f t="shared" si="58"/>
        <v>0</v>
      </c>
      <c r="Q396" s="273">
        <f t="shared" si="58"/>
        <v>0</v>
      </c>
      <c r="R396" s="273">
        <f t="shared" si="58"/>
        <v>0</v>
      </c>
      <c r="S396" s="273">
        <f t="shared" si="58"/>
        <v>0</v>
      </c>
      <c r="T396" s="273"/>
      <c r="U396" s="273"/>
      <c r="V396" s="287"/>
    </row>
    <row r="397" spans="1:22" ht="12.75">
      <c r="A397" s="275"/>
      <c r="B397" s="23" t="s">
        <v>29</v>
      </c>
      <c r="C397" s="290"/>
      <c r="D397" s="287"/>
      <c r="E397" s="346"/>
      <c r="F397" s="284"/>
      <c r="G397" s="152">
        <v>0</v>
      </c>
      <c r="H397" s="136"/>
      <c r="I397" s="136"/>
      <c r="J397" s="136"/>
      <c r="K397" s="136"/>
      <c r="L397" s="152">
        <v>0</v>
      </c>
      <c r="M397" s="136"/>
      <c r="N397" s="136"/>
      <c r="O397" s="136"/>
      <c r="P397" s="152">
        <f>H397+L397</f>
        <v>0</v>
      </c>
      <c r="Q397" s="152">
        <f>I397+M397</f>
        <v>0</v>
      </c>
      <c r="R397" s="152">
        <f>J397+N397</f>
        <v>0</v>
      </c>
      <c r="S397" s="152">
        <f>K397+O397</f>
        <v>0</v>
      </c>
      <c r="T397" s="136"/>
      <c r="U397" s="136"/>
      <c r="V397" s="287"/>
    </row>
    <row r="398" spans="1:22" ht="12.75">
      <c r="A398" s="275"/>
      <c r="B398" s="44" t="s">
        <v>39</v>
      </c>
      <c r="C398" s="290"/>
      <c r="D398" s="287"/>
      <c r="E398" s="346"/>
      <c r="F398" s="284"/>
      <c r="G398" s="153">
        <v>0</v>
      </c>
      <c r="H398" s="136"/>
      <c r="I398" s="136"/>
      <c r="J398" s="136"/>
      <c r="K398" s="136"/>
      <c r="L398" s="153">
        <v>0</v>
      </c>
      <c r="M398" s="136"/>
      <c r="N398" s="136"/>
      <c r="O398" s="136"/>
      <c r="P398" s="153">
        <f aca="true" t="shared" si="59" ref="P398:S404">H398+L398</f>
        <v>0</v>
      </c>
      <c r="Q398" s="153">
        <f t="shared" si="59"/>
        <v>0</v>
      </c>
      <c r="R398" s="153">
        <f t="shared" si="59"/>
        <v>0</v>
      </c>
      <c r="S398" s="153">
        <f t="shared" si="59"/>
        <v>0</v>
      </c>
      <c r="T398" s="136"/>
      <c r="U398" s="136"/>
      <c r="V398" s="287"/>
    </row>
    <row r="399" spans="1:22" ht="12.75">
      <c r="A399" s="275"/>
      <c r="B399" s="23" t="s">
        <v>30</v>
      </c>
      <c r="C399" s="290"/>
      <c r="D399" s="287"/>
      <c r="E399" s="346"/>
      <c r="F399" s="284"/>
      <c r="G399" s="152">
        <v>0</v>
      </c>
      <c r="H399" s="136"/>
      <c r="I399" s="136"/>
      <c r="J399" s="136"/>
      <c r="K399" s="136"/>
      <c r="L399" s="152">
        <v>0</v>
      </c>
      <c r="M399" s="136"/>
      <c r="N399" s="136"/>
      <c r="O399" s="136"/>
      <c r="P399" s="152">
        <f t="shared" si="59"/>
        <v>0</v>
      </c>
      <c r="Q399" s="152">
        <f t="shared" si="59"/>
        <v>0</v>
      </c>
      <c r="R399" s="152">
        <f t="shared" si="59"/>
        <v>0</v>
      </c>
      <c r="S399" s="152">
        <f t="shared" si="59"/>
        <v>0</v>
      </c>
      <c r="T399" s="136"/>
      <c r="U399" s="136"/>
      <c r="V399" s="287"/>
    </row>
    <row r="400" spans="1:22" ht="12.75">
      <c r="A400" s="275"/>
      <c r="B400" s="44" t="s">
        <v>41</v>
      </c>
      <c r="C400" s="357"/>
      <c r="D400" s="346"/>
      <c r="E400" s="346"/>
      <c r="F400" s="346"/>
      <c r="G400" s="153">
        <v>0</v>
      </c>
      <c r="H400" s="140"/>
      <c r="I400" s="140"/>
      <c r="J400" s="140"/>
      <c r="K400" s="140"/>
      <c r="L400" s="153">
        <v>0</v>
      </c>
      <c r="M400" s="140"/>
      <c r="N400" s="140"/>
      <c r="O400" s="140"/>
      <c r="P400" s="153">
        <f t="shared" si="59"/>
        <v>0</v>
      </c>
      <c r="Q400" s="153">
        <f t="shared" si="59"/>
        <v>0</v>
      </c>
      <c r="R400" s="153">
        <f t="shared" si="59"/>
        <v>0</v>
      </c>
      <c r="S400" s="153">
        <f t="shared" si="59"/>
        <v>0</v>
      </c>
      <c r="T400" s="140"/>
      <c r="U400" s="140"/>
      <c r="V400" s="346"/>
    </row>
    <row r="401" spans="1:22" ht="12.75">
      <c r="A401" s="275"/>
      <c r="B401" s="41" t="s">
        <v>32</v>
      </c>
      <c r="C401" s="357"/>
      <c r="D401" s="346"/>
      <c r="E401" s="346"/>
      <c r="F401" s="346"/>
      <c r="G401" s="153">
        <v>0</v>
      </c>
      <c r="H401" s="140"/>
      <c r="I401" s="140"/>
      <c r="J401" s="140"/>
      <c r="K401" s="140"/>
      <c r="L401" s="153">
        <v>0</v>
      </c>
      <c r="M401" s="140"/>
      <c r="N401" s="140"/>
      <c r="O401" s="140"/>
      <c r="P401" s="153">
        <f t="shared" si="59"/>
        <v>0</v>
      </c>
      <c r="Q401" s="153">
        <f t="shared" si="59"/>
        <v>0</v>
      </c>
      <c r="R401" s="153">
        <f t="shared" si="59"/>
        <v>0</v>
      </c>
      <c r="S401" s="153">
        <f t="shared" si="59"/>
        <v>0</v>
      </c>
      <c r="T401" s="140"/>
      <c r="U401" s="140"/>
      <c r="V401" s="346"/>
    </row>
    <row r="402" spans="1:22" ht="12.75">
      <c r="A402" s="275"/>
      <c r="B402" s="41" t="s">
        <v>33</v>
      </c>
      <c r="C402" s="357"/>
      <c r="D402" s="346"/>
      <c r="E402" s="346"/>
      <c r="F402" s="346"/>
      <c r="G402" s="153">
        <v>0</v>
      </c>
      <c r="H402" s="140"/>
      <c r="I402" s="140"/>
      <c r="J402" s="140"/>
      <c r="K402" s="140"/>
      <c r="L402" s="153">
        <v>0</v>
      </c>
      <c r="M402" s="140"/>
      <c r="N402" s="140"/>
      <c r="O402" s="140"/>
      <c r="P402" s="153">
        <f t="shared" si="59"/>
        <v>0</v>
      </c>
      <c r="Q402" s="153">
        <f t="shared" si="59"/>
        <v>0</v>
      </c>
      <c r="R402" s="153">
        <f t="shared" si="59"/>
        <v>0</v>
      </c>
      <c r="S402" s="153">
        <f t="shared" si="59"/>
        <v>0</v>
      </c>
      <c r="T402" s="140"/>
      <c r="U402" s="140"/>
      <c r="V402" s="346"/>
    </row>
    <row r="403" spans="1:22" ht="12.75">
      <c r="A403" s="275"/>
      <c r="B403" s="23" t="s">
        <v>37</v>
      </c>
      <c r="C403" s="357"/>
      <c r="D403" s="346"/>
      <c r="E403" s="346"/>
      <c r="F403" s="346"/>
      <c r="G403" s="152">
        <v>0</v>
      </c>
      <c r="H403" s="140"/>
      <c r="I403" s="140"/>
      <c r="J403" s="140"/>
      <c r="K403" s="140"/>
      <c r="L403" s="152">
        <v>0</v>
      </c>
      <c r="M403" s="140"/>
      <c r="N403" s="140"/>
      <c r="O403" s="140"/>
      <c r="P403" s="152">
        <f t="shared" si="59"/>
        <v>0</v>
      </c>
      <c r="Q403" s="152">
        <f t="shared" si="59"/>
        <v>0</v>
      </c>
      <c r="R403" s="152">
        <f t="shared" si="59"/>
        <v>0</v>
      </c>
      <c r="S403" s="152">
        <f t="shared" si="59"/>
        <v>0</v>
      </c>
      <c r="T403" s="140"/>
      <c r="U403" s="140"/>
      <c r="V403" s="346"/>
    </row>
    <row r="404" spans="1:22" ht="12.75">
      <c r="A404" s="275"/>
      <c r="B404" s="23" t="s">
        <v>38</v>
      </c>
      <c r="C404" s="358"/>
      <c r="D404" s="345"/>
      <c r="E404" s="345"/>
      <c r="F404" s="345"/>
      <c r="G404" s="152">
        <v>0</v>
      </c>
      <c r="H404" s="140"/>
      <c r="I404" s="140"/>
      <c r="J404" s="140"/>
      <c r="K404" s="140"/>
      <c r="L404" s="152">
        <v>0</v>
      </c>
      <c r="M404" s="140"/>
      <c r="N404" s="140"/>
      <c r="O404" s="140"/>
      <c r="P404" s="152">
        <f t="shared" si="59"/>
        <v>0</v>
      </c>
      <c r="Q404" s="152">
        <f t="shared" si="59"/>
        <v>0</v>
      </c>
      <c r="R404" s="152">
        <f t="shared" si="59"/>
        <v>0</v>
      </c>
      <c r="S404" s="152">
        <f t="shared" si="59"/>
        <v>0</v>
      </c>
      <c r="T404" s="140"/>
      <c r="U404" s="140"/>
      <c r="V404" s="345"/>
    </row>
    <row r="405" spans="1:22" ht="27" customHeight="1">
      <c r="A405" s="274" t="s">
        <v>103</v>
      </c>
      <c r="B405" s="71" t="s">
        <v>120</v>
      </c>
      <c r="C405" s="289" t="s">
        <v>58</v>
      </c>
      <c r="D405" s="286" t="s">
        <v>51</v>
      </c>
      <c r="E405" s="258">
        <v>23</v>
      </c>
      <c r="F405" s="283" t="s">
        <v>17</v>
      </c>
      <c r="G405" s="25">
        <f>G406+G408+G410+G414+G415</f>
        <v>787252.1</v>
      </c>
      <c r="H405" s="25">
        <f>H406+H408+H410+H414+H415</f>
        <v>0</v>
      </c>
      <c r="I405" s="26"/>
      <c r="J405" s="26"/>
      <c r="K405" s="26"/>
      <c r="L405" s="25">
        <f>L406+L408+L410+L414+L415</f>
        <v>425637.1</v>
      </c>
      <c r="M405" s="26">
        <v>0</v>
      </c>
      <c r="N405" s="26">
        <v>0</v>
      </c>
      <c r="O405" s="26">
        <v>0</v>
      </c>
      <c r="P405" s="25">
        <f>H405+L405</f>
        <v>425637.1</v>
      </c>
      <c r="Q405" s="25">
        <f>I405+M405</f>
        <v>0</v>
      </c>
      <c r="R405" s="25">
        <f>J405+N405</f>
        <v>0</v>
      </c>
      <c r="S405" s="25">
        <f>K405+O405</f>
        <v>0</v>
      </c>
      <c r="T405" s="26"/>
      <c r="U405" s="26"/>
      <c r="V405" s="288"/>
    </row>
    <row r="406" spans="1:22" ht="12.75">
      <c r="A406" s="275"/>
      <c r="B406" s="22" t="s">
        <v>127</v>
      </c>
      <c r="C406" s="290"/>
      <c r="D406" s="287"/>
      <c r="E406" s="346"/>
      <c r="F406" s="284"/>
      <c r="G406" s="256">
        <v>787252.1</v>
      </c>
      <c r="H406" s="256"/>
      <c r="I406" s="134"/>
      <c r="J406" s="134"/>
      <c r="K406" s="134"/>
      <c r="L406" s="256">
        <v>425637.1</v>
      </c>
      <c r="M406" s="134"/>
      <c r="N406" s="134"/>
      <c r="O406" s="134"/>
      <c r="P406" s="256">
        <f aca="true" t="shared" si="60" ref="P406:S407">H406+L406</f>
        <v>425637.1</v>
      </c>
      <c r="Q406" s="256">
        <f t="shared" si="60"/>
        <v>0</v>
      </c>
      <c r="R406" s="256">
        <f t="shared" si="60"/>
        <v>0</v>
      </c>
      <c r="S406" s="256">
        <f t="shared" si="60"/>
        <v>0</v>
      </c>
      <c r="T406" s="256">
        <v>425637.1</v>
      </c>
      <c r="U406" s="256">
        <f>355078.1+6536.9</f>
        <v>361615</v>
      </c>
      <c r="V406" s="287"/>
    </row>
    <row r="407" spans="1:22" ht="12.75">
      <c r="A407" s="275"/>
      <c r="B407" s="40" t="s">
        <v>27</v>
      </c>
      <c r="C407" s="290"/>
      <c r="D407" s="287"/>
      <c r="E407" s="346"/>
      <c r="F407" s="284"/>
      <c r="G407" s="273"/>
      <c r="H407" s="273"/>
      <c r="I407" s="136"/>
      <c r="J407" s="136"/>
      <c r="K407" s="136"/>
      <c r="L407" s="273"/>
      <c r="M407" s="136"/>
      <c r="N407" s="136"/>
      <c r="O407" s="136"/>
      <c r="P407" s="273">
        <f t="shared" si="60"/>
        <v>0</v>
      </c>
      <c r="Q407" s="273">
        <f t="shared" si="60"/>
        <v>0</v>
      </c>
      <c r="R407" s="273">
        <f t="shared" si="60"/>
        <v>0</v>
      </c>
      <c r="S407" s="273">
        <f t="shared" si="60"/>
        <v>0</v>
      </c>
      <c r="T407" s="273"/>
      <c r="U407" s="273"/>
      <c r="V407" s="287"/>
    </row>
    <row r="408" spans="1:22" ht="12.75">
      <c r="A408" s="275"/>
      <c r="B408" s="23" t="s">
        <v>29</v>
      </c>
      <c r="C408" s="290"/>
      <c r="D408" s="287"/>
      <c r="E408" s="346"/>
      <c r="F408" s="284"/>
      <c r="G408" s="152">
        <v>0</v>
      </c>
      <c r="H408" s="136"/>
      <c r="I408" s="136"/>
      <c r="J408" s="136"/>
      <c r="K408" s="136"/>
      <c r="L408" s="152">
        <v>0</v>
      </c>
      <c r="M408" s="136"/>
      <c r="N408" s="136"/>
      <c r="O408" s="136"/>
      <c r="P408" s="152">
        <f>H408+L408</f>
        <v>0</v>
      </c>
      <c r="Q408" s="152">
        <f>I408+M408</f>
        <v>0</v>
      </c>
      <c r="R408" s="152">
        <f>J408+N408</f>
        <v>0</v>
      </c>
      <c r="S408" s="152">
        <f>K408+O408</f>
        <v>0</v>
      </c>
      <c r="T408" s="136"/>
      <c r="U408" s="136"/>
      <c r="V408" s="287"/>
    </row>
    <row r="409" spans="1:22" ht="12.75">
      <c r="A409" s="275"/>
      <c r="B409" s="44" t="s">
        <v>39</v>
      </c>
      <c r="C409" s="290"/>
      <c r="D409" s="287"/>
      <c r="E409" s="346"/>
      <c r="F409" s="284"/>
      <c r="G409" s="153">
        <v>0</v>
      </c>
      <c r="H409" s="136"/>
      <c r="I409" s="136"/>
      <c r="J409" s="136"/>
      <c r="K409" s="136"/>
      <c r="L409" s="153">
        <v>0</v>
      </c>
      <c r="M409" s="136"/>
      <c r="N409" s="136"/>
      <c r="O409" s="136"/>
      <c r="P409" s="153">
        <f aca="true" t="shared" si="61" ref="P409:S415">H409+L409</f>
        <v>0</v>
      </c>
      <c r="Q409" s="153">
        <f t="shared" si="61"/>
        <v>0</v>
      </c>
      <c r="R409" s="153">
        <f t="shared" si="61"/>
        <v>0</v>
      </c>
      <c r="S409" s="153">
        <f t="shared" si="61"/>
        <v>0</v>
      </c>
      <c r="T409" s="136"/>
      <c r="U409" s="136"/>
      <c r="V409" s="287"/>
    </row>
    <row r="410" spans="1:22" ht="12.75">
      <c r="A410" s="275"/>
      <c r="B410" s="23" t="s">
        <v>30</v>
      </c>
      <c r="C410" s="290"/>
      <c r="D410" s="287"/>
      <c r="E410" s="346"/>
      <c r="F410" s="284"/>
      <c r="G410" s="152">
        <v>0</v>
      </c>
      <c r="H410" s="136"/>
      <c r="I410" s="136"/>
      <c r="J410" s="136"/>
      <c r="K410" s="136"/>
      <c r="L410" s="152">
        <v>0</v>
      </c>
      <c r="M410" s="136"/>
      <c r="N410" s="136"/>
      <c r="O410" s="136"/>
      <c r="P410" s="152">
        <f t="shared" si="61"/>
        <v>0</v>
      </c>
      <c r="Q410" s="152">
        <f t="shared" si="61"/>
        <v>0</v>
      </c>
      <c r="R410" s="152">
        <f t="shared" si="61"/>
        <v>0</v>
      </c>
      <c r="S410" s="152">
        <f t="shared" si="61"/>
        <v>0</v>
      </c>
      <c r="T410" s="136"/>
      <c r="U410" s="136"/>
      <c r="V410" s="287"/>
    </row>
    <row r="411" spans="1:22" ht="12.75">
      <c r="A411" s="275"/>
      <c r="B411" s="44" t="s">
        <v>41</v>
      </c>
      <c r="C411" s="357"/>
      <c r="D411" s="346"/>
      <c r="E411" s="346"/>
      <c r="F411" s="346"/>
      <c r="G411" s="153">
        <v>0</v>
      </c>
      <c r="H411" s="140"/>
      <c r="I411" s="140"/>
      <c r="J411" s="140"/>
      <c r="K411" s="140"/>
      <c r="L411" s="153">
        <v>0</v>
      </c>
      <c r="M411" s="140"/>
      <c r="N411" s="140"/>
      <c r="O411" s="140"/>
      <c r="P411" s="153">
        <f t="shared" si="61"/>
        <v>0</v>
      </c>
      <c r="Q411" s="153">
        <f t="shared" si="61"/>
        <v>0</v>
      </c>
      <c r="R411" s="153">
        <f t="shared" si="61"/>
        <v>0</v>
      </c>
      <c r="S411" s="153">
        <f t="shared" si="61"/>
        <v>0</v>
      </c>
      <c r="T411" s="140"/>
      <c r="U411" s="140"/>
      <c r="V411" s="346"/>
    </row>
    <row r="412" spans="1:22" ht="12.75">
      <c r="A412" s="275"/>
      <c r="B412" s="41" t="s">
        <v>32</v>
      </c>
      <c r="C412" s="357"/>
      <c r="D412" s="346"/>
      <c r="E412" s="346"/>
      <c r="F412" s="346"/>
      <c r="G412" s="153">
        <v>0</v>
      </c>
      <c r="H412" s="140"/>
      <c r="I412" s="140"/>
      <c r="J412" s="140"/>
      <c r="K412" s="140"/>
      <c r="L412" s="153">
        <v>0</v>
      </c>
      <c r="M412" s="140"/>
      <c r="N412" s="140"/>
      <c r="O412" s="140"/>
      <c r="P412" s="153">
        <f t="shared" si="61"/>
        <v>0</v>
      </c>
      <c r="Q412" s="153">
        <f t="shared" si="61"/>
        <v>0</v>
      </c>
      <c r="R412" s="153">
        <f t="shared" si="61"/>
        <v>0</v>
      </c>
      <c r="S412" s="153">
        <f t="shared" si="61"/>
        <v>0</v>
      </c>
      <c r="T412" s="140"/>
      <c r="U412" s="140"/>
      <c r="V412" s="346"/>
    </row>
    <row r="413" spans="1:22" ht="12.75">
      <c r="A413" s="275"/>
      <c r="B413" s="41" t="s">
        <v>33</v>
      </c>
      <c r="C413" s="357"/>
      <c r="D413" s="346"/>
      <c r="E413" s="346"/>
      <c r="F413" s="346"/>
      <c r="G413" s="153">
        <v>0</v>
      </c>
      <c r="H413" s="140"/>
      <c r="I413" s="140"/>
      <c r="J413" s="140"/>
      <c r="K413" s="140"/>
      <c r="L413" s="153">
        <v>0</v>
      </c>
      <c r="M413" s="140"/>
      <c r="N413" s="140"/>
      <c r="O413" s="140"/>
      <c r="P413" s="153">
        <f t="shared" si="61"/>
        <v>0</v>
      </c>
      <c r="Q413" s="153">
        <f t="shared" si="61"/>
        <v>0</v>
      </c>
      <c r="R413" s="153">
        <f t="shared" si="61"/>
        <v>0</v>
      </c>
      <c r="S413" s="153">
        <f t="shared" si="61"/>
        <v>0</v>
      </c>
      <c r="T413" s="140"/>
      <c r="U413" s="140"/>
      <c r="V413" s="346"/>
    </row>
    <row r="414" spans="1:22" ht="12.75">
      <c r="A414" s="275"/>
      <c r="B414" s="23" t="s">
        <v>37</v>
      </c>
      <c r="C414" s="357"/>
      <c r="D414" s="346"/>
      <c r="E414" s="346"/>
      <c r="F414" s="346"/>
      <c r="G414" s="152">
        <v>0</v>
      </c>
      <c r="H414" s="140"/>
      <c r="I414" s="140"/>
      <c r="J414" s="140"/>
      <c r="K414" s="140"/>
      <c r="L414" s="152">
        <v>0</v>
      </c>
      <c r="M414" s="140"/>
      <c r="N414" s="140"/>
      <c r="O414" s="140"/>
      <c r="P414" s="152">
        <f t="shared" si="61"/>
        <v>0</v>
      </c>
      <c r="Q414" s="152">
        <f t="shared" si="61"/>
        <v>0</v>
      </c>
      <c r="R414" s="152">
        <f t="shared" si="61"/>
        <v>0</v>
      </c>
      <c r="S414" s="152">
        <f t="shared" si="61"/>
        <v>0</v>
      </c>
      <c r="T414" s="140"/>
      <c r="U414" s="140"/>
      <c r="V414" s="346"/>
    </row>
    <row r="415" spans="1:22" ht="12.75">
      <c r="A415" s="275"/>
      <c r="B415" s="23" t="s">
        <v>38</v>
      </c>
      <c r="C415" s="358"/>
      <c r="D415" s="345"/>
      <c r="E415" s="345"/>
      <c r="F415" s="345"/>
      <c r="G415" s="152">
        <v>0</v>
      </c>
      <c r="H415" s="140"/>
      <c r="I415" s="140"/>
      <c r="J415" s="140"/>
      <c r="K415" s="140"/>
      <c r="L415" s="152">
        <v>0</v>
      </c>
      <c r="M415" s="140"/>
      <c r="N415" s="140"/>
      <c r="O415" s="140"/>
      <c r="P415" s="152">
        <f t="shared" si="61"/>
        <v>0</v>
      </c>
      <c r="Q415" s="152">
        <f t="shared" si="61"/>
        <v>0</v>
      </c>
      <c r="R415" s="152">
        <f t="shared" si="61"/>
        <v>0</v>
      </c>
      <c r="S415" s="152">
        <f t="shared" si="61"/>
        <v>0</v>
      </c>
      <c r="T415" s="140"/>
      <c r="U415" s="140"/>
      <c r="V415" s="345"/>
    </row>
    <row r="416" spans="1:22" ht="25.5">
      <c r="A416" s="274" t="s">
        <v>104</v>
      </c>
      <c r="B416" s="19" t="s">
        <v>23</v>
      </c>
      <c r="C416" s="338" t="s">
        <v>58</v>
      </c>
      <c r="D416" s="286" t="s">
        <v>1</v>
      </c>
      <c r="E416" s="258">
        <v>7.8</v>
      </c>
      <c r="F416" s="258" t="s">
        <v>18</v>
      </c>
      <c r="G416" s="25">
        <f>G417+G422+G424+G428+G429</f>
        <v>379385.5</v>
      </c>
      <c r="H416" s="25">
        <f>H417+H422+H424+H428+H429</f>
        <v>0</v>
      </c>
      <c r="I416" s="25">
        <f>I417+I422+I424+I428+I429</f>
        <v>0</v>
      </c>
      <c r="J416" s="140">
        <f>J417+J422+J424</f>
        <v>380.664</v>
      </c>
      <c r="K416" s="140">
        <f>K417+K422+K424</f>
        <v>380.664</v>
      </c>
      <c r="L416" s="140">
        <f>L417+L422+L424</f>
        <v>252923.6</v>
      </c>
      <c r="M416" s="140">
        <f>M417+M422+M424</f>
        <v>1261.935</v>
      </c>
      <c r="N416" s="226">
        <f>N417+N422+N424</f>
        <v>881.2719999999999</v>
      </c>
      <c r="O416" s="226">
        <f>O417+O422+O424</f>
        <v>881.2719999999999</v>
      </c>
      <c r="P416" s="25">
        <f>H416+L416</f>
        <v>252923.6</v>
      </c>
      <c r="Q416" s="25">
        <f>I416+M416</f>
        <v>1261.935</v>
      </c>
      <c r="R416" s="25">
        <f>J416+N416</f>
        <v>1261.936</v>
      </c>
      <c r="S416" s="25">
        <f>K416+O416</f>
        <v>1261.936</v>
      </c>
      <c r="T416" s="184"/>
      <c r="U416" s="184"/>
      <c r="V416" s="262"/>
    </row>
    <row r="417" spans="1:22" ht="12.75">
      <c r="A417" s="275"/>
      <c r="B417" s="22" t="s">
        <v>127</v>
      </c>
      <c r="C417" s="339"/>
      <c r="D417" s="287"/>
      <c r="E417" s="346"/>
      <c r="F417" s="346"/>
      <c r="G417" s="256">
        <v>379385.5</v>
      </c>
      <c r="H417" s="256"/>
      <c r="I417" s="256"/>
      <c r="J417" s="256">
        <f>SUM(J419)</f>
        <v>380.664</v>
      </c>
      <c r="K417" s="256">
        <f>SUM(K419)</f>
        <v>380.664</v>
      </c>
      <c r="L417" s="256">
        <v>252923.6</v>
      </c>
      <c r="M417" s="256">
        <f>SUM(M420:M421)</f>
        <v>1261.935</v>
      </c>
      <c r="N417" s="256">
        <f>SUM(N419:N421)</f>
        <v>881.2719999999999</v>
      </c>
      <c r="O417" s="256">
        <f>SUM(O419:O421)</f>
        <v>881.2719999999999</v>
      </c>
      <c r="P417" s="256">
        <f aca="true" t="shared" si="62" ref="P417:S418">H417+L417</f>
        <v>252923.6</v>
      </c>
      <c r="Q417" s="256">
        <f t="shared" si="62"/>
        <v>1261.935</v>
      </c>
      <c r="R417" s="256">
        <f t="shared" si="62"/>
        <v>1261.936</v>
      </c>
      <c r="S417" s="256">
        <f t="shared" si="62"/>
        <v>1261.936</v>
      </c>
      <c r="T417" s="256">
        <f>126461.8*2</f>
        <v>252923.6</v>
      </c>
      <c r="U417" s="256">
        <v>126461.9</v>
      </c>
      <c r="V417" s="263"/>
    </row>
    <row r="418" spans="1:22" ht="12.75">
      <c r="A418" s="275"/>
      <c r="B418" s="40" t="s">
        <v>27</v>
      </c>
      <c r="C418" s="339"/>
      <c r="D418" s="287"/>
      <c r="E418" s="346"/>
      <c r="F418" s="346"/>
      <c r="G418" s="345"/>
      <c r="H418" s="273"/>
      <c r="I418" s="273"/>
      <c r="J418" s="273"/>
      <c r="K418" s="273"/>
      <c r="L418" s="273"/>
      <c r="M418" s="273"/>
      <c r="N418" s="273"/>
      <c r="O418" s="273"/>
      <c r="P418" s="273">
        <f t="shared" si="62"/>
        <v>0</v>
      </c>
      <c r="Q418" s="273">
        <f t="shared" si="62"/>
        <v>0</v>
      </c>
      <c r="R418" s="273">
        <f t="shared" si="62"/>
        <v>0</v>
      </c>
      <c r="S418" s="273">
        <f t="shared" si="62"/>
        <v>0</v>
      </c>
      <c r="T418" s="273"/>
      <c r="U418" s="273"/>
      <c r="V418" s="263"/>
    </row>
    <row r="419" spans="1:23" ht="12.75" customHeight="1" hidden="1">
      <c r="A419" s="275"/>
      <c r="B419" s="115"/>
      <c r="C419" s="339"/>
      <c r="D419" s="287"/>
      <c r="E419" s="346"/>
      <c r="F419" s="346"/>
      <c r="G419" s="105"/>
      <c r="H419" s="136"/>
      <c r="I419" s="136"/>
      <c r="J419" s="117">
        <v>380.664</v>
      </c>
      <c r="K419" s="117">
        <v>380.664</v>
      </c>
      <c r="L419" s="117"/>
      <c r="M419" s="117"/>
      <c r="N419" s="117"/>
      <c r="O419" s="117"/>
      <c r="P419" s="152">
        <f>H419+L419</f>
        <v>0</v>
      </c>
      <c r="Q419" s="152">
        <f>I419+M419</f>
        <v>0</v>
      </c>
      <c r="R419" s="152">
        <f>J419+N419</f>
        <v>380.664</v>
      </c>
      <c r="S419" s="152">
        <f>K419+O419</f>
        <v>380.664</v>
      </c>
      <c r="T419" s="136"/>
      <c r="U419" s="136"/>
      <c r="V419" s="263"/>
      <c r="W419" s="171"/>
    </row>
    <row r="420" spans="1:22" s="187" customFormat="1" ht="12.75" customHeight="1" hidden="1">
      <c r="A420" s="275"/>
      <c r="B420" s="115" t="s">
        <v>220</v>
      </c>
      <c r="C420" s="339"/>
      <c r="D420" s="287"/>
      <c r="E420" s="346"/>
      <c r="F420" s="346"/>
      <c r="G420" s="186"/>
      <c r="H420" s="116"/>
      <c r="I420" s="116"/>
      <c r="J420" s="117"/>
      <c r="K420" s="117"/>
      <c r="L420" s="117"/>
      <c r="M420" s="117">
        <v>244.435</v>
      </c>
      <c r="N420" s="117">
        <f>73.331+171.105</f>
        <v>244.43599999999998</v>
      </c>
      <c r="O420" s="117">
        <f>73.331+171.105</f>
        <v>244.43599999999998</v>
      </c>
      <c r="P420" s="224"/>
      <c r="Q420" s="224"/>
      <c r="R420" s="224"/>
      <c r="S420" s="224"/>
      <c r="T420" s="116"/>
      <c r="U420" s="116"/>
      <c r="V420" s="263"/>
    </row>
    <row r="421" spans="1:22" s="171" customFormat="1" ht="12.75" customHeight="1" hidden="1">
      <c r="A421" s="275"/>
      <c r="B421" s="115" t="s">
        <v>170</v>
      </c>
      <c r="C421" s="339"/>
      <c r="D421" s="287"/>
      <c r="E421" s="346"/>
      <c r="F421" s="346"/>
      <c r="G421" s="170"/>
      <c r="H421" s="118"/>
      <c r="I421" s="118"/>
      <c r="J421" s="117"/>
      <c r="K421" s="117"/>
      <c r="L421" s="117"/>
      <c r="M421" s="117">
        <v>1017.5</v>
      </c>
      <c r="N421" s="117">
        <f>5+631.836</f>
        <v>636.836</v>
      </c>
      <c r="O421" s="117">
        <f>5+631.836</f>
        <v>636.836</v>
      </c>
      <c r="P421" s="234"/>
      <c r="Q421" s="234"/>
      <c r="R421" s="234"/>
      <c r="S421" s="234"/>
      <c r="T421" s="118"/>
      <c r="U421" s="118"/>
      <c r="V421" s="263"/>
    </row>
    <row r="422" spans="1:22" ht="12.75">
      <c r="A422" s="275"/>
      <c r="B422" s="23" t="s">
        <v>29</v>
      </c>
      <c r="C422" s="339"/>
      <c r="D422" s="287"/>
      <c r="E422" s="346"/>
      <c r="F422" s="346"/>
      <c r="G422" s="152">
        <v>0</v>
      </c>
      <c r="H422" s="136"/>
      <c r="I422" s="136"/>
      <c r="J422" s="136"/>
      <c r="K422" s="136"/>
      <c r="L422" s="152">
        <v>0</v>
      </c>
      <c r="M422" s="136"/>
      <c r="N422" s="136"/>
      <c r="O422" s="136"/>
      <c r="P422" s="152">
        <f aca="true" t="shared" si="63" ref="P422:S429">H422+L422</f>
        <v>0</v>
      </c>
      <c r="Q422" s="152">
        <f t="shared" si="63"/>
        <v>0</v>
      </c>
      <c r="R422" s="152">
        <f t="shared" si="63"/>
        <v>0</v>
      </c>
      <c r="S422" s="152">
        <f t="shared" si="63"/>
        <v>0</v>
      </c>
      <c r="T422" s="136"/>
      <c r="U422" s="136"/>
      <c r="V422" s="263"/>
    </row>
    <row r="423" spans="1:22" ht="12.75">
      <c r="A423" s="275"/>
      <c r="B423" s="44" t="s">
        <v>39</v>
      </c>
      <c r="C423" s="339"/>
      <c r="D423" s="287"/>
      <c r="E423" s="346"/>
      <c r="F423" s="346"/>
      <c r="G423" s="153">
        <v>0</v>
      </c>
      <c r="H423" s="136"/>
      <c r="I423" s="136"/>
      <c r="J423" s="136"/>
      <c r="K423" s="136"/>
      <c r="L423" s="153">
        <v>0</v>
      </c>
      <c r="M423" s="136"/>
      <c r="N423" s="136"/>
      <c r="O423" s="136"/>
      <c r="P423" s="153">
        <f t="shared" si="63"/>
        <v>0</v>
      </c>
      <c r="Q423" s="153">
        <f t="shared" si="63"/>
        <v>0</v>
      </c>
      <c r="R423" s="153">
        <f t="shared" si="63"/>
        <v>0</v>
      </c>
      <c r="S423" s="153">
        <f t="shared" si="63"/>
        <v>0</v>
      </c>
      <c r="T423" s="136"/>
      <c r="U423" s="136"/>
      <c r="V423" s="263"/>
    </row>
    <row r="424" spans="1:22" ht="12.75">
      <c r="A424" s="275"/>
      <c r="B424" s="23" t="s">
        <v>30</v>
      </c>
      <c r="C424" s="339"/>
      <c r="D424" s="287"/>
      <c r="E424" s="346"/>
      <c r="F424" s="346"/>
      <c r="G424" s="152">
        <v>0</v>
      </c>
      <c r="H424" s="136"/>
      <c r="I424" s="136"/>
      <c r="J424" s="136"/>
      <c r="K424" s="136"/>
      <c r="L424" s="152">
        <v>0</v>
      </c>
      <c r="M424" s="136"/>
      <c r="N424" s="136"/>
      <c r="O424" s="136"/>
      <c r="P424" s="152">
        <f t="shared" si="63"/>
        <v>0</v>
      </c>
      <c r="Q424" s="152">
        <f t="shared" si="63"/>
        <v>0</v>
      </c>
      <c r="R424" s="152">
        <f t="shared" si="63"/>
        <v>0</v>
      </c>
      <c r="S424" s="152">
        <f t="shared" si="63"/>
        <v>0</v>
      </c>
      <c r="T424" s="136"/>
      <c r="U424" s="136"/>
      <c r="V424" s="263"/>
    </row>
    <row r="425" spans="1:22" ht="12.75">
      <c r="A425" s="275"/>
      <c r="B425" s="44" t="s">
        <v>41</v>
      </c>
      <c r="C425" s="357"/>
      <c r="D425" s="346"/>
      <c r="E425" s="346"/>
      <c r="F425" s="346"/>
      <c r="G425" s="153">
        <v>0</v>
      </c>
      <c r="H425" s="140"/>
      <c r="I425" s="140"/>
      <c r="J425" s="140"/>
      <c r="K425" s="140"/>
      <c r="L425" s="153">
        <v>0</v>
      </c>
      <c r="M425" s="140"/>
      <c r="N425" s="140"/>
      <c r="O425" s="140"/>
      <c r="P425" s="153">
        <f t="shared" si="63"/>
        <v>0</v>
      </c>
      <c r="Q425" s="153">
        <f t="shared" si="63"/>
        <v>0</v>
      </c>
      <c r="R425" s="153">
        <f t="shared" si="63"/>
        <v>0</v>
      </c>
      <c r="S425" s="153">
        <f t="shared" si="63"/>
        <v>0</v>
      </c>
      <c r="T425" s="140"/>
      <c r="U425" s="140"/>
      <c r="V425" s="263"/>
    </row>
    <row r="426" spans="1:22" ht="12.75">
      <c r="A426" s="275"/>
      <c r="B426" s="41" t="s">
        <v>32</v>
      </c>
      <c r="C426" s="357"/>
      <c r="D426" s="346"/>
      <c r="E426" s="346"/>
      <c r="F426" s="346"/>
      <c r="G426" s="153">
        <v>0</v>
      </c>
      <c r="H426" s="140"/>
      <c r="I426" s="140"/>
      <c r="J426" s="140"/>
      <c r="K426" s="140"/>
      <c r="L426" s="153">
        <v>0</v>
      </c>
      <c r="M426" s="140"/>
      <c r="N426" s="140"/>
      <c r="O426" s="140"/>
      <c r="P426" s="153">
        <f t="shared" si="63"/>
        <v>0</v>
      </c>
      <c r="Q426" s="153">
        <f t="shared" si="63"/>
        <v>0</v>
      </c>
      <c r="R426" s="153">
        <f t="shared" si="63"/>
        <v>0</v>
      </c>
      <c r="S426" s="153">
        <f t="shared" si="63"/>
        <v>0</v>
      </c>
      <c r="T426" s="140"/>
      <c r="U426" s="140"/>
      <c r="V426" s="263"/>
    </row>
    <row r="427" spans="1:22" ht="12.75">
      <c r="A427" s="275"/>
      <c r="B427" s="41" t="s">
        <v>33</v>
      </c>
      <c r="C427" s="357"/>
      <c r="D427" s="346"/>
      <c r="E427" s="346"/>
      <c r="F427" s="346"/>
      <c r="G427" s="153">
        <v>0</v>
      </c>
      <c r="H427" s="140"/>
      <c r="I427" s="140"/>
      <c r="J427" s="140"/>
      <c r="K427" s="140"/>
      <c r="L427" s="153">
        <v>0</v>
      </c>
      <c r="M427" s="140"/>
      <c r="N427" s="140"/>
      <c r="O427" s="140"/>
      <c r="P427" s="153">
        <f t="shared" si="63"/>
        <v>0</v>
      </c>
      <c r="Q427" s="153">
        <f t="shared" si="63"/>
        <v>0</v>
      </c>
      <c r="R427" s="153">
        <f t="shared" si="63"/>
        <v>0</v>
      </c>
      <c r="S427" s="153">
        <f t="shared" si="63"/>
        <v>0</v>
      </c>
      <c r="T427" s="140"/>
      <c r="U427" s="140"/>
      <c r="V427" s="263"/>
    </row>
    <row r="428" spans="1:22" ht="12.75">
      <c r="A428" s="275"/>
      <c r="B428" s="23" t="s">
        <v>37</v>
      </c>
      <c r="C428" s="357"/>
      <c r="D428" s="346"/>
      <c r="E428" s="346"/>
      <c r="F428" s="346"/>
      <c r="G428" s="152">
        <v>0</v>
      </c>
      <c r="H428" s="140"/>
      <c r="I428" s="140"/>
      <c r="J428" s="140"/>
      <c r="K428" s="140"/>
      <c r="L428" s="152">
        <v>0</v>
      </c>
      <c r="M428" s="152"/>
      <c r="N428" s="152"/>
      <c r="O428" s="152"/>
      <c r="P428" s="152">
        <f t="shared" si="63"/>
        <v>0</v>
      </c>
      <c r="Q428" s="152">
        <f t="shared" si="63"/>
        <v>0</v>
      </c>
      <c r="R428" s="152">
        <f t="shared" si="63"/>
        <v>0</v>
      </c>
      <c r="S428" s="152">
        <f t="shared" si="63"/>
        <v>0</v>
      </c>
      <c r="T428" s="152"/>
      <c r="U428" s="152"/>
      <c r="V428" s="263"/>
    </row>
    <row r="429" spans="1:22" ht="12.75">
      <c r="A429" s="276"/>
      <c r="B429" s="23" t="s">
        <v>38</v>
      </c>
      <c r="C429" s="358"/>
      <c r="D429" s="345"/>
      <c r="E429" s="345"/>
      <c r="F429" s="345"/>
      <c r="G429" s="152">
        <v>0</v>
      </c>
      <c r="H429" s="140"/>
      <c r="I429" s="140"/>
      <c r="J429" s="140"/>
      <c r="K429" s="140"/>
      <c r="L429" s="152">
        <v>0</v>
      </c>
      <c r="M429" s="152"/>
      <c r="N429" s="152"/>
      <c r="O429" s="152"/>
      <c r="P429" s="152">
        <f t="shared" si="63"/>
        <v>0</v>
      </c>
      <c r="Q429" s="152">
        <f t="shared" si="63"/>
        <v>0</v>
      </c>
      <c r="R429" s="152">
        <f t="shared" si="63"/>
        <v>0</v>
      </c>
      <c r="S429" s="152">
        <f t="shared" si="63"/>
        <v>0</v>
      </c>
      <c r="T429" s="152"/>
      <c r="U429" s="152"/>
      <c r="V429" s="264"/>
    </row>
    <row r="430" spans="1:22" ht="25.5">
      <c r="A430" s="274" t="s">
        <v>200</v>
      </c>
      <c r="B430" s="16" t="s">
        <v>106</v>
      </c>
      <c r="C430" s="175"/>
      <c r="D430" s="176"/>
      <c r="E430" s="177"/>
      <c r="F430" s="177"/>
      <c r="G430" s="25">
        <f>G431</f>
        <v>855.3</v>
      </c>
      <c r="H430" s="25">
        <f>H431</f>
        <v>296.5</v>
      </c>
      <c r="I430" s="25">
        <f>I431</f>
        <v>0</v>
      </c>
      <c r="J430" s="25">
        <f>J431</f>
        <v>247.1</v>
      </c>
      <c r="K430" s="25">
        <f>K431</f>
        <v>247.1</v>
      </c>
      <c r="L430" s="25">
        <f>L431</f>
        <v>558.8</v>
      </c>
      <c r="M430" s="25">
        <f>M431</f>
        <v>0</v>
      </c>
      <c r="N430" s="25">
        <v>0</v>
      </c>
      <c r="O430" s="25">
        <v>0</v>
      </c>
      <c r="P430" s="25"/>
      <c r="Q430" s="25"/>
      <c r="R430" s="25"/>
      <c r="S430" s="25"/>
      <c r="T430" s="25"/>
      <c r="U430" s="25"/>
      <c r="V430" s="135"/>
    </row>
    <row r="431" spans="1:22" ht="12.75">
      <c r="A431" s="346"/>
      <c r="B431" s="22" t="s">
        <v>127</v>
      </c>
      <c r="C431" s="175"/>
      <c r="D431" s="176"/>
      <c r="E431" s="177"/>
      <c r="F431" s="177"/>
      <c r="G431" s="256">
        <v>855.3</v>
      </c>
      <c r="H431" s="351">
        <v>296.5</v>
      </c>
      <c r="I431" s="351"/>
      <c r="J431" s="351">
        <v>247.1</v>
      </c>
      <c r="K431" s="351">
        <v>247.1</v>
      </c>
      <c r="L431" s="351">
        <v>558.8</v>
      </c>
      <c r="M431" s="351"/>
      <c r="N431" s="137"/>
      <c r="O431" s="137"/>
      <c r="P431" s="137"/>
      <c r="Q431" s="149"/>
      <c r="R431" s="149"/>
      <c r="S431" s="149"/>
      <c r="T431" s="256">
        <v>558.8</v>
      </c>
      <c r="U431" s="256"/>
      <c r="V431" s="135"/>
    </row>
    <row r="432" spans="1:22" ht="12.75">
      <c r="A432" s="345"/>
      <c r="B432" s="40" t="s">
        <v>27</v>
      </c>
      <c r="C432" s="175"/>
      <c r="D432" s="176"/>
      <c r="E432" s="177"/>
      <c r="F432" s="177"/>
      <c r="G432" s="345"/>
      <c r="H432" s="352"/>
      <c r="I432" s="352"/>
      <c r="J432" s="352"/>
      <c r="K432" s="352"/>
      <c r="L432" s="352"/>
      <c r="M432" s="352"/>
      <c r="N432" s="138"/>
      <c r="O432" s="138"/>
      <c r="P432" s="138"/>
      <c r="Q432" s="150"/>
      <c r="R432" s="150"/>
      <c r="S432" s="150"/>
      <c r="T432" s="273"/>
      <c r="U432" s="273"/>
      <c r="V432" s="135"/>
    </row>
    <row r="433" spans="1:22" ht="15">
      <c r="A433" s="333"/>
      <c r="B433" s="17" t="s">
        <v>15</v>
      </c>
      <c r="C433" s="291"/>
      <c r="D433" s="314" t="e">
        <f>G372+#REF!+#REF!+G335+G324+G313+G301+G290+G277+G266+#REF!+G255+G241+#REF!+#REF!+#REF!+#REF!+G230+#REF!+G219+G197+G186+#REF!+#REF!+#REF!+G155+G394+G383+G360+G346+G405+G416</f>
        <v>#REF!</v>
      </c>
      <c r="E433" s="279">
        <f>G373+G336+G325+G314+G302+G291+G278+G267+G256+G242+G231+G220+G198+G187+G156+G395+G384+G361+G347+G406+G417+G431</f>
        <v>1904893.2</v>
      </c>
      <c r="F433" s="296"/>
      <c r="G433" s="25">
        <f>G434+G436+G438+G442+G445</f>
        <v>3420866.9</v>
      </c>
      <c r="H433" s="25">
        <f>H434+H436+H438+H442+H445</f>
        <v>1521863.1</v>
      </c>
      <c r="I433" s="25">
        <f aca="true" t="shared" si="64" ref="I433:P433">I434+I436+I438+I442+I445</f>
        <v>398181.8789999999</v>
      </c>
      <c r="J433" s="25">
        <f t="shared" si="64"/>
        <v>448054.658</v>
      </c>
      <c r="K433" s="25">
        <f t="shared" si="64"/>
        <v>448054.658</v>
      </c>
      <c r="L433" s="25">
        <f t="shared" si="64"/>
        <v>894352.2999999999</v>
      </c>
      <c r="M433" s="25">
        <f>M434+M436+M438+M442+M445</f>
        <v>197743.373</v>
      </c>
      <c r="N433" s="25">
        <f t="shared" si="64"/>
        <v>153495.64899999998</v>
      </c>
      <c r="O433" s="25">
        <f t="shared" si="64"/>
        <v>153495.65</v>
      </c>
      <c r="P433" s="25">
        <f t="shared" si="64"/>
        <v>2415360.1</v>
      </c>
      <c r="Q433" s="25">
        <f>Q434+Q436+Q438+Q442+Q445</f>
        <v>595925.252</v>
      </c>
      <c r="R433" s="25">
        <f>R434+R436+R438+R442+R445</f>
        <v>601303.2069999999</v>
      </c>
      <c r="S433" s="25">
        <f>S434+S436+S438+S442+S445</f>
        <v>601303.208</v>
      </c>
      <c r="T433" s="25">
        <f>T434+T436+T438+T442+T445</f>
        <v>952892.757</v>
      </c>
      <c r="U433" s="25">
        <f>U434+U436+U438+U442+U445</f>
        <v>1449748.3539999998</v>
      </c>
      <c r="V433" s="373">
        <f>SUM(H438:U438)</f>
        <v>5679774.7530000005</v>
      </c>
    </row>
    <row r="434" spans="1:22" ht="12.75">
      <c r="A434" s="362"/>
      <c r="B434" s="22" t="s">
        <v>127</v>
      </c>
      <c r="C434" s="364"/>
      <c r="D434" s="347"/>
      <c r="E434" s="280"/>
      <c r="F434" s="360"/>
      <c r="G434" s="256">
        <v>1904893.2</v>
      </c>
      <c r="H434" s="359">
        <f aca="true" t="shared" si="65" ref="H434:U434">H187+H209+H220+H231+H242+H256+H267+H278+H291+H302+H314+H156+H336+H325+H198+H373+H347+H361+H384+H395+H406+H417+H431</f>
        <v>5889.4</v>
      </c>
      <c r="I434" s="359">
        <f t="shared" si="65"/>
        <v>6737.864000000001</v>
      </c>
      <c r="J434" s="359">
        <f t="shared" si="65"/>
        <v>8545.050000000001</v>
      </c>
      <c r="K434" s="359">
        <f t="shared" si="65"/>
        <v>8545.050000000001</v>
      </c>
      <c r="L434" s="359">
        <f t="shared" si="65"/>
        <v>894352.2999999999</v>
      </c>
      <c r="M434" s="359">
        <f t="shared" si="65"/>
        <v>12852.871999999998</v>
      </c>
      <c r="N434" s="359">
        <f t="shared" si="65"/>
        <v>6822.505999999999</v>
      </c>
      <c r="O434" s="359">
        <f t="shared" si="65"/>
        <v>6822.507</v>
      </c>
      <c r="P434" s="359">
        <f t="shared" si="65"/>
        <v>899386.4</v>
      </c>
      <c r="Q434" s="359">
        <f t="shared" si="65"/>
        <v>19590.736</v>
      </c>
      <c r="R434" s="359">
        <f t="shared" si="65"/>
        <v>15120.456</v>
      </c>
      <c r="S434" s="359">
        <f t="shared" si="65"/>
        <v>15120.457</v>
      </c>
      <c r="T434" s="359">
        <f t="shared" si="65"/>
        <v>875175.048</v>
      </c>
      <c r="U434" s="359">
        <f t="shared" si="65"/>
        <v>1010238.7459999999</v>
      </c>
      <c r="V434" s="374"/>
    </row>
    <row r="435" spans="1:22" ht="12.75">
      <c r="A435" s="362"/>
      <c r="B435" s="40" t="s">
        <v>27</v>
      </c>
      <c r="C435" s="364"/>
      <c r="D435" s="347"/>
      <c r="E435" s="280"/>
      <c r="F435" s="360"/>
      <c r="G435" s="345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74"/>
    </row>
    <row r="436" spans="1:22" ht="12.75">
      <c r="A436" s="362"/>
      <c r="B436" s="23" t="s">
        <v>29</v>
      </c>
      <c r="C436" s="364"/>
      <c r="D436" s="347"/>
      <c r="E436" s="280"/>
      <c r="F436" s="360"/>
      <c r="G436" s="140">
        <f>SUM(G437)</f>
        <v>0</v>
      </c>
      <c r="H436" s="140">
        <f>SUM(H437)</f>
        <v>0</v>
      </c>
      <c r="I436" s="140">
        <f aca="true" t="shared" si="66" ref="I436:S436">SUM(I437)</f>
        <v>0</v>
      </c>
      <c r="J436" s="140">
        <f t="shared" si="66"/>
        <v>0</v>
      </c>
      <c r="K436" s="140">
        <f t="shared" si="66"/>
        <v>0</v>
      </c>
      <c r="L436" s="140">
        <f t="shared" si="66"/>
        <v>0</v>
      </c>
      <c r="M436" s="140">
        <f t="shared" si="66"/>
        <v>0</v>
      </c>
      <c r="N436" s="140">
        <f t="shared" si="66"/>
        <v>0</v>
      </c>
      <c r="O436" s="140">
        <f t="shared" si="66"/>
        <v>0</v>
      </c>
      <c r="P436" s="140">
        <f t="shared" si="66"/>
        <v>0</v>
      </c>
      <c r="Q436" s="152">
        <f t="shared" si="66"/>
        <v>0</v>
      </c>
      <c r="R436" s="152">
        <f t="shared" si="66"/>
        <v>0</v>
      </c>
      <c r="S436" s="152">
        <f t="shared" si="66"/>
        <v>0</v>
      </c>
      <c r="T436" s="140">
        <f>SUM(T437)</f>
        <v>0</v>
      </c>
      <c r="U436" s="140">
        <f>SUM(U437)</f>
        <v>0</v>
      </c>
      <c r="V436" s="374"/>
    </row>
    <row r="437" spans="1:22" ht="12.75">
      <c r="A437" s="362"/>
      <c r="B437" s="44" t="s">
        <v>39</v>
      </c>
      <c r="C437" s="364"/>
      <c r="D437" s="347"/>
      <c r="E437" s="280"/>
      <c r="F437" s="360"/>
      <c r="G437" s="139">
        <f>SUM(H437:U437)</f>
        <v>0</v>
      </c>
      <c r="H437" s="139"/>
      <c r="I437" s="139"/>
      <c r="J437" s="139"/>
      <c r="K437" s="139"/>
      <c r="L437" s="139"/>
      <c r="M437" s="139"/>
      <c r="N437" s="139"/>
      <c r="O437" s="139"/>
      <c r="P437" s="139"/>
      <c r="Q437" s="153"/>
      <c r="R437" s="153"/>
      <c r="S437" s="153"/>
      <c r="T437" s="139"/>
      <c r="U437" s="139"/>
      <c r="V437" s="374"/>
    </row>
    <row r="438" spans="1:22" ht="12.75">
      <c r="A438" s="362"/>
      <c r="B438" s="23" t="s">
        <v>30</v>
      </c>
      <c r="C438" s="364"/>
      <c r="D438" s="347"/>
      <c r="E438" s="280"/>
      <c r="F438" s="360"/>
      <c r="G438" s="140">
        <f>SUM(G439:G441)</f>
        <v>832573.7</v>
      </c>
      <c r="H438" s="140">
        <f>SUM(H439:H441)</f>
        <v>832573.7</v>
      </c>
      <c r="I438" s="140">
        <f>SUM(I439:I441)</f>
        <v>391444.0149999999</v>
      </c>
      <c r="J438" s="140">
        <f>SUM(J439:J441)</f>
        <v>439509.608</v>
      </c>
      <c r="K438" s="140">
        <f>SUM(K439:K441)</f>
        <v>439509.608</v>
      </c>
      <c r="L438" s="140">
        <f>SUM(L439:L441)</f>
        <v>0</v>
      </c>
      <c r="M438" s="140">
        <f>SUM(M439:M441)</f>
        <v>184890.501</v>
      </c>
      <c r="N438" s="140">
        <f>SUM(N439:N441)</f>
        <v>146673.14299999998</v>
      </c>
      <c r="O438" s="140">
        <f>SUM(O439:O441)</f>
        <v>146673.14299999998</v>
      </c>
      <c r="P438" s="140">
        <f>SUM(P439:P441)</f>
        <v>832573.7</v>
      </c>
      <c r="Q438" s="152">
        <f>SUM(Q439:Q441)</f>
        <v>576334.516</v>
      </c>
      <c r="R438" s="152">
        <f>SUM(R439:R441)</f>
        <v>586182.7509999999</v>
      </c>
      <c r="S438" s="152">
        <f>SUM(S439:S441)</f>
        <v>586182.7509999999</v>
      </c>
      <c r="T438" s="140">
        <f>SUM(T439:T441)</f>
        <v>77717.70900000002</v>
      </c>
      <c r="U438" s="140">
        <f>SUM(U439:U441)</f>
        <v>439509.608</v>
      </c>
      <c r="V438" s="374"/>
    </row>
    <row r="439" spans="1:22" ht="12.75">
      <c r="A439" s="362"/>
      <c r="B439" s="44" t="s">
        <v>41</v>
      </c>
      <c r="C439" s="364"/>
      <c r="D439" s="347"/>
      <c r="E439" s="347"/>
      <c r="F439" s="360"/>
      <c r="G439" s="139">
        <f>SUM(H439)</f>
        <v>670084.2</v>
      </c>
      <c r="H439" s="139">
        <f aca="true" t="shared" si="67" ref="H439:U439">H341+H330+H319+H308+H296+H285+H272+H261+H250+H236+H225+H192+H169</f>
        <v>670084.2</v>
      </c>
      <c r="I439" s="139">
        <f t="shared" si="67"/>
        <v>288879.9709999999</v>
      </c>
      <c r="J439" s="139">
        <f t="shared" si="67"/>
        <v>327492.69</v>
      </c>
      <c r="K439" s="139">
        <f t="shared" si="67"/>
        <v>327492.69</v>
      </c>
      <c r="L439" s="139">
        <f t="shared" si="67"/>
        <v>0</v>
      </c>
      <c r="M439" s="139">
        <f t="shared" si="67"/>
        <v>159979.343</v>
      </c>
      <c r="N439" s="238">
        <f t="shared" si="67"/>
        <v>128604.74</v>
      </c>
      <c r="O439" s="139">
        <f t="shared" si="67"/>
        <v>128604.74</v>
      </c>
      <c r="P439" s="139">
        <f t="shared" si="67"/>
        <v>670084.2</v>
      </c>
      <c r="Q439" s="153">
        <f t="shared" si="67"/>
        <v>448859.3139999999</v>
      </c>
      <c r="R439" s="153">
        <f t="shared" si="67"/>
        <v>456097.43</v>
      </c>
      <c r="S439" s="153">
        <f t="shared" si="67"/>
        <v>456097.43</v>
      </c>
      <c r="T439" s="139">
        <f t="shared" si="67"/>
        <v>74142.41200000001</v>
      </c>
      <c r="U439" s="139">
        <f t="shared" si="67"/>
        <v>327492.69</v>
      </c>
      <c r="V439" s="374"/>
    </row>
    <row r="440" spans="1:22" ht="12.75">
      <c r="A440" s="362"/>
      <c r="B440" s="41" t="s">
        <v>32</v>
      </c>
      <c r="C440" s="364"/>
      <c r="D440" s="347"/>
      <c r="E440" s="347"/>
      <c r="F440" s="360"/>
      <c r="G440" s="139">
        <f>SUM(H440)</f>
        <v>31396.6</v>
      </c>
      <c r="H440" s="139">
        <f aca="true" t="shared" si="68" ref="H440:U440">H342+H331+H320+H309+H297+H286+H273+H262+H251+H237+H226+H193+H173</f>
        <v>31396.6</v>
      </c>
      <c r="I440" s="139">
        <f t="shared" si="68"/>
        <v>15383.669</v>
      </c>
      <c r="J440" s="139">
        <f t="shared" si="68"/>
        <v>17113.269</v>
      </c>
      <c r="K440" s="139">
        <f t="shared" si="68"/>
        <v>17113.269</v>
      </c>
      <c r="L440" s="139">
        <f t="shared" si="68"/>
        <v>0</v>
      </c>
      <c r="M440" s="139">
        <f t="shared" si="68"/>
        <v>7860.107</v>
      </c>
      <c r="N440" s="238">
        <f t="shared" si="68"/>
        <v>5361.956</v>
      </c>
      <c r="O440" s="139">
        <f t="shared" si="68"/>
        <v>5361.956</v>
      </c>
      <c r="P440" s="139">
        <f t="shared" si="68"/>
        <v>31396.6</v>
      </c>
      <c r="Q440" s="153">
        <f t="shared" si="68"/>
        <v>23243.775999999998</v>
      </c>
      <c r="R440" s="153">
        <f t="shared" si="68"/>
        <v>22475.225</v>
      </c>
      <c r="S440" s="153">
        <f t="shared" si="68"/>
        <v>22475.225</v>
      </c>
      <c r="T440" s="139">
        <f t="shared" si="68"/>
        <v>3575.297</v>
      </c>
      <c r="U440" s="139">
        <f t="shared" si="68"/>
        <v>17113.269</v>
      </c>
      <c r="V440" s="374"/>
    </row>
    <row r="441" spans="1:22" ht="12.75">
      <c r="A441" s="362"/>
      <c r="B441" s="41" t="s">
        <v>33</v>
      </c>
      <c r="C441" s="364"/>
      <c r="D441" s="347"/>
      <c r="E441" s="347"/>
      <c r="F441" s="360"/>
      <c r="G441" s="139">
        <f>SUM(H441)</f>
        <v>131092.9</v>
      </c>
      <c r="H441" s="139">
        <f aca="true" t="shared" si="69" ref="H441:U441">H343+H332+H321+H310+H298+H287+H274+H263+H252+H238+H227+H194+H177</f>
        <v>131092.9</v>
      </c>
      <c r="I441" s="139">
        <f t="shared" si="69"/>
        <v>87180.375</v>
      </c>
      <c r="J441" s="139">
        <f t="shared" si="69"/>
        <v>94903.649</v>
      </c>
      <c r="K441" s="139">
        <f t="shared" si="69"/>
        <v>94903.649</v>
      </c>
      <c r="L441" s="139">
        <f t="shared" si="69"/>
        <v>0</v>
      </c>
      <c r="M441" s="139">
        <f t="shared" si="69"/>
        <v>17051.051000000003</v>
      </c>
      <c r="N441" s="238">
        <f t="shared" si="69"/>
        <v>12706.447</v>
      </c>
      <c r="O441" s="139">
        <f t="shared" si="69"/>
        <v>12706.447</v>
      </c>
      <c r="P441" s="139">
        <f t="shared" si="69"/>
        <v>131092.9</v>
      </c>
      <c r="Q441" s="153">
        <f t="shared" si="69"/>
        <v>104231.426</v>
      </c>
      <c r="R441" s="153">
        <f t="shared" si="69"/>
        <v>107610.096</v>
      </c>
      <c r="S441" s="153">
        <f t="shared" si="69"/>
        <v>107610.096</v>
      </c>
      <c r="T441" s="139">
        <f t="shared" si="69"/>
        <v>0</v>
      </c>
      <c r="U441" s="139">
        <f t="shared" si="69"/>
        <v>94903.649</v>
      </c>
      <c r="V441" s="374"/>
    </row>
    <row r="442" spans="1:22" ht="12.75">
      <c r="A442" s="362"/>
      <c r="B442" s="23" t="s">
        <v>37</v>
      </c>
      <c r="C442" s="364"/>
      <c r="D442" s="347"/>
      <c r="E442" s="347"/>
      <c r="F442" s="360"/>
      <c r="G442" s="140">
        <f>SUM(H442)</f>
        <v>683400</v>
      </c>
      <c r="H442" s="140">
        <f>SUM(H443:H444)</f>
        <v>683400</v>
      </c>
      <c r="I442" s="140">
        <f>SUM(I443:I444)</f>
        <v>0</v>
      </c>
      <c r="J442" s="140">
        <f>SUM(J443:J444)</f>
        <v>0</v>
      </c>
      <c r="K442" s="140">
        <f>SUM(K443:K444)</f>
        <v>0</v>
      </c>
      <c r="L442" s="140">
        <f>SUM(L443:L444)</f>
        <v>0</v>
      </c>
      <c r="M442" s="140">
        <f>SUM(M443:M444)</f>
        <v>0</v>
      </c>
      <c r="N442" s="140">
        <f>SUM(N443:N444)</f>
        <v>0</v>
      </c>
      <c r="O442" s="140">
        <f>SUM(O443:O444)</f>
        <v>0</v>
      </c>
      <c r="P442" s="140">
        <f>SUM(P443:P444)</f>
        <v>683400</v>
      </c>
      <c r="Q442" s="152">
        <f>SUM(Q443:Q444)</f>
        <v>0</v>
      </c>
      <c r="R442" s="152">
        <f>SUM(R443:R444)</f>
        <v>0</v>
      </c>
      <c r="S442" s="152">
        <f>SUM(S443:S444)</f>
        <v>0</v>
      </c>
      <c r="T442" s="140">
        <f>SUM(T443:T444)</f>
        <v>0</v>
      </c>
      <c r="U442" s="140">
        <f>SUM(U443:U444)</f>
        <v>0</v>
      </c>
      <c r="V442" s="374"/>
    </row>
    <row r="443" spans="1:22" ht="12.75">
      <c r="A443" s="362"/>
      <c r="B443" s="41" t="s">
        <v>56</v>
      </c>
      <c r="C443" s="364"/>
      <c r="D443" s="347"/>
      <c r="E443" s="347"/>
      <c r="F443" s="360"/>
      <c r="G443" s="139">
        <f>SUM(H443)</f>
        <v>357000</v>
      </c>
      <c r="H443" s="139">
        <f>H182</f>
        <v>357000</v>
      </c>
      <c r="I443" s="139">
        <f>I182</f>
        <v>0</v>
      </c>
      <c r="J443" s="139">
        <f>J182</f>
        <v>0</v>
      </c>
      <c r="K443" s="139">
        <f>K182</f>
        <v>0</v>
      </c>
      <c r="L443" s="139">
        <f>L182</f>
        <v>0</v>
      </c>
      <c r="M443" s="139">
        <f>M182</f>
        <v>0</v>
      </c>
      <c r="N443" s="139">
        <f>N182</f>
        <v>0</v>
      </c>
      <c r="O443" s="139">
        <f>O182</f>
        <v>0</v>
      </c>
      <c r="P443" s="139">
        <f>P182</f>
        <v>357000</v>
      </c>
      <c r="Q443" s="153">
        <f>Q182</f>
        <v>0</v>
      </c>
      <c r="R443" s="153">
        <f>R182</f>
        <v>0</v>
      </c>
      <c r="S443" s="153">
        <f>S182</f>
        <v>0</v>
      </c>
      <c r="T443" s="139">
        <f>T182</f>
        <v>0</v>
      </c>
      <c r="U443" s="139">
        <f>U182</f>
        <v>0</v>
      </c>
      <c r="V443" s="374"/>
    </row>
    <row r="444" spans="1:22" ht="12.75">
      <c r="A444" s="362"/>
      <c r="B444" s="41" t="s">
        <v>57</v>
      </c>
      <c r="C444" s="364"/>
      <c r="D444" s="347"/>
      <c r="E444" s="347"/>
      <c r="F444" s="360"/>
      <c r="G444" s="153">
        <f>SUM(H444)</f>
        <v>326400</v>
      </c>
      <c r="H444" s="139">
        <f>H183</f>
        <v>326400</v>
      </c>
      <c r="I444" s="139">
        <f>I183</f>
        <v>0</v>
      </c>
      <c r="J444" s="139">
        <f>J183</f>
        <v>0</v>
      </c>
      <c r="K444" s="139">
        <f>K183</f>
        <v>0</v>
      </c>
      <c r="L444" s="139">
        <f>L183</f>
        <v>0</v>
      </c>
      <c r="M444" s="139">
        <f>M183</f>
        <v>0</v>
      </c>
      <c r="N444" s="139">
        <f>N183</f>
        <v>0</v>
      </c>
      <c r="O444" s="139">
        <f>O183</f>
        <v>0</v>
      </c>
      <c r="P444" s="139">
        <f>P183</f>
        <v>326400</v>
      </c>
      <c r="Q444" s="153">
        <f>Q183</f>
        <v>0</v>
      </c>
      <c r="R444" s="153">
        <f>R183</f>
        <v>0</v>
      </c>
      <c r="S444" s="153">
        <f>S183</f>
        <v>0</v>
      </c>
      <c r="T444" s="139">
        <f>T183</f>
        <v>0</v>
      </c>
      <c r="U444" s="139">
        <f>U183</f>
        <v>0</v>
      </c>
      <c r="V444" s="374"/>
    </row>
    <row r="445" spans="1:22" ht="12.75">
      <c r="A445" s="363"/>
      <c r="B445" s="23" t="s">
        <v>38</v>
      </c>
      <c r="C445" s="365"/>
      <c r="D445" s="348"/>
      <c r="E445" s="348"/>
      <c r="F445" s="361"/>
      <c r="G445" s="140">
        <f>SUM(H445:U445)</f>
        <v>0</v>
      </c>
      <c r="H445" s="140"/>
      <c r="I445" s="140"/>
      <c r="J445" s="140"/>
      <c r="K445" s="140"/>
      <c r="L445" s="140"/>
      <c r="M445" s="140"/>
      <c r="N445" s="140"/>
      <c r="O445" s="140"/>
      <c r="P445" s="140"/>
      <c r="Q445" s="152"/>
      <c r="R445" s="152"/>
      <c r="S445" s="152"/>
      <c r="T445" s="140"/>
      <c r="U445" s="140"/>
      <c r="V445" s="375"/>
    </row>
    <row r="446" spans="1:21" ht="12.75">
      <c r="A446" s="4"/>
      <c r="B446" s="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ht="12.75" customHeight="1" hidden="1">
      <c r="A447" s="183" t="s">
        <v>22</v>
      </c>
      <c r="B447" s="32" t="s">
        <v>78</v>
      </c>
      <c r="C447" s="179"/>
      <c r="D447" s="179"/>
      <c r="E447" s="179"/>
      <c r="F447" s="179"/>
      <c r="T447" s="57">
        <f>G434</f>
        <v>1904893.2</v>
      </c>
      <c r="U447" s="56" t="s">
        <v>12</v>
      </c>
    </row>
    <row r="448" spans="1:20" ht="12.75" customHeight="1" hidden="1">
      <c r="A448" s="183"/>
      <c r="B448" s="7" t="s">
        <v>128</v>
      </c>
      <c r="C448" s="179"/>
      <c r="D448" s="179"/>
      <c r="E448" s="179"/>
      <c r="F448" s="179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0"/>
    </row>
    <row r="449" spans="1:21" ht="12.75" customHeight="1" hidden="1">
      <c r="A449" s="188"/>
      <c r="B449" s="189"/>
      <c r="C449" s="189"/>
      <c r="D449" s="189"/>
      <c r="E449" s="189"/>
      <c r="F449" s="189"/>
      <c r="G449" s="182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82"/>
      <c r="U449" s="182"/>
    </row>
    <row r="450" spans="1:22" ht="13.5">
      <c r="A450" s="333"/>
      <c r="B450" s="15" t="s">
        <v>20</v>
      </c>
      <c r="C450" s="296"/>
      <c r="D450" s="314">
        <f>G433+G135</f>
        <v>5398882.6</v>
      </c>
      <c r="E450" s="296"/>
      <c r="F450" s="299">
        <f>G434+G136</f>
        <v>3133418.7</v>
      </c>
      <c r="G450" s="25">
        <f>G451+G453+G455+G459+G463+G462</f>
        <v>5398882.6</v>
      </c>
      <c r="H450" s="25">
        <f>H451+H453+H455+H459+H463+H462</f>
        <v>2185005.5</v>
      </c>
      <c r="I450" s="25">
        <f>I451+I453+I455+I459+I463+I462</f>
        <v>819731.4809999999</v>
      </c>
      <c r="J450" s="25">
        <f>J451+J453+J455+J459+J463+J462</f>
        <v>745071.428</v>
      </c>
      <c r="K450" s="25">
        <f>K451+K453+K455+K459+K463+K462</f>
        <v>777519.9239999999</v>
      </c>
      <c r="L450" s="25">
        <f>L451+L453+L455+L459+L463+L462</f>
        <v>1883885.2999999998</v>
      </c>
      <c r="M450" s="25">
        <f>M451+M453+M455+M459+M463+M462</f>
        <v>296035.503</v>
      </c>
      <c r="N450" s="25">
        <f>N451+N453+N455+N459+N463+N462</f>
        <v>653961.279</v>
      </c>
      <c r="O450" s="25">
        <f>O451+O453+O455+O459+O463+O462</f>
        <v>300732.424</v>
      </c>
      <c r="P450" s="25">
        <f>P451+P453+P455+P459+P463+P462</f>
        <v>3993035.5</v>
      </c>
      <c r="Q450" s="25">
        <f>Q451+Q453+Q455+Q459+Q463+Q462</f>
        <v>1115766.984</v>
      </c>
      <c r="R450" s="25">
        <f>R451+R453+R455+R459+R463+R462</f>
        <v>1398785.6069999998</v>
      </c>
      <c r="S450" s="25">
        <f>S451+S453+S455+S459+S463+S462</f>
        <v>1078005.2480000001</v>
      </c>
      <c r="T450" s="25">
        <f>T451+T453+T455+T459+T463+T462</f>
        <v>1437207.382</v>
      </c>
      <c r="U450" s="25">
        <f>U451+U453+U455+U459+U463+U462</f>
        <v>2019145.5839999998</v>
      </c>
      <c r="V450" s="366">
        <f>SUM(H450:U450)</f>
        <v>18703889.143999998</v>
      </c>
    </row>
    <row r="451" spans="1:22" ht="12.75" customHeight="1">
      <c r="A451" s="362"/>
      <c r="B451" s="22" t="s">
        <v>127</v>
      </c>
      <c r="C451" s="360"/>
      <c r="D451" s="347"/>
      <c r="E451" s="360"/>
      <c r="F451" s="370"/>
      <c r="G451" s="250">
        <v>3133418.7</v>
      </c>
      <c r="H451" s="294">
        <f aca="true" t="shared" si="70" ref="H451:U451">H434+H136</f>
        <v>91066.59999999999</v>
      </c>
      <c r="I451" s="294">
        <f t="shared" si="70"/>
        <v>231463.26899999997</v>
      </c>
      <c r="J451" s="294">
        <f t="shared" si="70"/>
        <v>84330.218</v>
      </c>
      <c r="K451" s="294">
        <f t="shared" si="70"/>
        <v>116778.71399999998</v>
      </c>
      <c r="L451" s="294">
        <f t="shared" si="70"/>
        <v>1712360.2999999998</v>
      </c>
      <c r="M451" s="294">
        <f t="shared" si="70"/>
        <v>42854.006</v>
      </c>
      <c r="N451" s="372">
        <f t="shared" si="70"/>
        <v>94332.20799999998</v>
      </c>
      <c r="O451" s="294">
        <f t="shared" si="70"/>
        <v>120037.12200000002</v>
      </c>
      <c r="P451" s="294">
        <f t="shared" si="70"/>
        <v>1802571.6</v>
      </c>
      <c r="Q451" s="294">
        <f t="shared" si="70"/>
        <v>274317.27499999997</v>
      </c>
      <c r="R451" s="294">
        <f t="shared" si="70"/>
        <v>178415.326</v>
      </c>
      <c r="S451" s="294">
        <f t="shared" si="70"/>
        <v>236568.73599999998</v>
      </c>
      <c r="T451" s="294">
        <f t="shared" si="70"/>
        <v>1187964.673</v>
      </c>
      <c r="U451" s="294">
        <f t="shared" si="70"/>
        <v>1358404.3739999998</v>
      </c>
      <c r="V451" s="367"/>
    </row>
    <row r="452" spans="1:22" ht="12.75" customHeight="1">
      <c r="A452" s="362"/>
      <c r="B452" s="40" t="s">
        <v>27</v>
      </c>
      <c r="C452" s="360"/>
      <c r="D452" s="347"/>
      <c r="E452" s="360"/>
      <c r="F452" s="370"/>
      <c r="G452" s="369"/>
      <c r="H452" s="294"/>
      <c r="I452" s="294"/>
      <c r="J452" s="294"/>
      <c r="K452" s="294"/>
      <c r="L452" s="294"/>
      <c r="M452" s="294"/>
      <c r="N452" s="372"/>
      <c r="O452" s="294"/>
      <c r="P452" s="294"/>
      <c r="Q452" s="294"/>
      <c r="R452" s="294"/>
      <c r="S452" s="294"/>
      <c r="T452" s="294"/>
      <c r="U452" s="294"/>
      <c r="V452" s="367"/>
    </row>
    <row r="453" spans="1:22" ht="12.75">
      <c r="A453" s="362"/>
      <c r="B453" s="23" t="s">
        <v>29</v>
      </c>
      <c r="C453" s="360"/>
      <c r="D453" s="347"/>
      <c r="E453" s="360"/>
      <c r="F453" s="370"/>
      <c r="G453" s="140">
        <f>SUM(G454)</f>
        <v>0</v>
      </c>
      <c r="H453" s="140">
        <f>H454</f>
        <v>0</v>
      </c>
      <c r="I453" s="140">
        <f aca="true" t="shared" si="71" ref="I453:S453">I454</f>
        <v>0</v>
      </c>
      <c r="J453" s="140">
        <f t="shared" si="71"/>
        <v>0</v>
      </c>
      <c r="K453" s="140">
        <f t="shared" si="71"/>
        <v>0</v>
      </c>
      <c r="L453" s="140">
        <f t="shared" si="71"/>
        <v>0</v>
      </c>
      <c r="M453" s="140">
        <f t="shared" si="71"/>
        <v>0</v>
      </c>
      <c r="N453" s="140">
        <f t="shared" si="71"/>
        <v>0</v>
      </c>
      <c r="O453" s="140">
        <f t="shared" si="71"/>
        <v>0</v>
      </c>
      <c r="P453" s="140">
        <f t="shared" si="71"/>
        <v>0</v>
      </c>
      <c r="Q453" s="152">
        <f t="shared" si="71"/>
        <v>0</v>
      </c>
      <c r="R453" s="152">
        <f t="shared" si="71"/>
        <v>0</v>
      </c>
      <c r="S453" s="152">
        <f t="shared" si="71"/>
        <v>0</v>
      </c>
      <c r="T453" s="140">
        <f>T454</f>
        <v>0</v>
      </c>
      <c r="U453" s="140">
        <f>U454</f>
        <v>0</v>
      </c>
      <c r="V453" s="367"/>
    </row>
    <row r="454" spans="1:22" ht="15" customHeight="1">
      <c r="A454" s="362"/>
      <c r="B454" s="72" t="s">
        <v>42</v>
      </c>
      <c r="C454" s="360"/>
      <c r="D454" s="347"/>
      <c r="E454" s="360"/>
      <c r="F454" s="370"/>
      <c r="G454" s="139">
        <f>SUM(H454:U454)</f>
        <v>0</v>
      </c>
      <c r="H454" s="139">
        <f aca="true" t="shared" si="72" ref="H454:U454">H139+H437</f>
        <v>0</v>
      </c>
      <c r="I454" s="139">
        <f t="shared" si="72"/>
        <v>0</v>
      </c>
      <c r="J454" s="139">
        <f t="shared" si="72"/>
        <v>0</v>
      </c>
      <c r="K454" s="139">
        <f t="shared" si="72"/>
        <v>0</v>
      </c>
      <c r="L454" s="139">
        <f t="shared" si="72"/>
        <v>0</v>
      </c>
      <c r="M454" s="139">
        <f t="shared" si="72"/>
        <v>0</v>
      </c>
      <c r="N454" s="139">
        <f t="shared" si="72"/>
        <v>0</v>
      </c>
      <c r="O454" s="139">
        <f t="shared" si="72"/>
        <v>0</v>
      </c>
      <c r="P454" s="139">
        <f t="shared" si="72"/>
        <v>0</v>
      </c>
      <c r="Q454" s="153">
        <f t="shared" si="72"/>
        <v>0</v>
      </c>
      <c r="R454" s="153">
        <f t="shared" si="72"/>
        <v>0</v>
      </c>
      <c r="S454" s="153">
        <f t="shared" si="72"/>
        <v>0</v>
      </c>
      <c r="T454" s="139">
        <f t="shared" si="72"/>
        <v>0</v>
      </c>
      <c r="U454" s="139">
        <f t="shared" si="72"/>
        <v>0</v>
      </c>
      <c r="V454" s="367"/>
    </row>
    <row r="455" spans="1:22" ht="12.75">
      <c r="A455" s="362"/>
      <c r="B455" s="23" t="s">
        <v>30</v>
      </c>
      <c r="C455" s="360"/>
      <c r="D455" s="347"/>
      <c r="E455" s="360"/>
      <c r="F455" s="370"/>
      <c r="G455" s="140">
        <f>SUM(G456:G458)</f>
        <v>1120963.9</v>
      </c>
      <c r="H455" s="140">
        <f>SUM(H456:H458)</f>
        <v>1120963.9</v>
      </c>
      <c r="I455" s="140">
        <f>SUM(I456:I458)</f>
        <v>588268.2119999999</v>
      </c>
      <c r="J455" s="140">
        <f>SUM(J456:J458)</f>
        <v>660741.21</v>
      </c>
      <c r="K455" s="140">
        <f>SUM(K456:K458)</f>
        <v>660741.21</v>
      </c>
      <c r="L455" s="140">
        <f>SUM(L456:L458)</f>
        <v>0</v>
      </c>
      <c r="M455" s="140">
        <f>SUM(M456:M458)</f>
        <v>226598.66</v>
      </c>
      <c r="N455" s="216">
        <f>SUM(N456:N458)</f>
        <v>163973.90200000003</v>
      </c>
      <c r="O455" s="140">
        <f>SUM(O456:O458)</f>
        <v>163973.89800000002</v>
      </c>
      <c r="P455" s="140">
        <f>SUM(P456:P458)</f>
        <v>1120963.9</v>
      </c>
      <c r="Q455" s="152">
        <f>SUM(Q456:Q458)</f>
        <v>814866.8719999999</v>
      </c>
      <c r="R455" s="152">
        <f>SUM(R456:R458)</f>
        <v>824715.112</v>
      </c>
      <c r="S455" s="152">
        <f>SUM(S456:S458)</f>
        <v>824715.108</v>
      </c>
      <c r="T455" s="140">
        <f>SUM(T456:T458)</f>
        <v>77717.70900000002</v>
      </c>
      <c r="U455" s="140">
        <f>SUM(U456:U458)</f>
        <v>660741.21</v>
      </c>
      <c r="V455" s="367"/>
    </row>
    <row r="456" spans="1:22" ht="12.75">
      <c r="A456" s="362"/>
      <c r="B456" s="44" t="s">
        <v>41</v>
      </c>
      <c r="C456" s="360"/>
      <c r="D456" s="347"/>
      <c r="E456" s="360"/>
      <c r="F456" s="370"/>
      <c r="G456" s="139">
        <f>SUM(H456)</f>
        <v>909033.2</v>
      </c>
      <c r="H456" s="139">
        <f aca="true" t="shared" si="73" ref="H456:U456">H439+H141</f>
        <v>909033.2</v>
      </c>
      <c r="I456" s="139">
        <f t="shared" si="73"/>
        <v>442973.0319999999</v>
      </c>
      <c r="J456" s="139">
        <f t="shared" si="73"/>
        <v>503571.461</v>
      </c>
      <c r="K456" s="139">
        <f t="shared" si="73"/>
        <v>503571.461</v>
      </c>
      <c r="L456" s="139">
        <f t="shared" si="73"/>
        <v>0</v>
      </c>
      <c r="M456" s="139">
        <f t="shared" si="73"/>
        <v>195345.818</v>
      </c>
      <c r="N456" s="139">
        <f t="shared" si="73"/>
        <v>141985.50900000002</v>
      </c>
      <c r="O456" s="139">
        <f t="shared" si="73"/>
        <v>141985.50900000002</v>
      </c>
      <c r="P456" s="139">
        <f t="shared" si="73"/>
        <v>909033.2</v>
      </c>
      <c r="Q456" s="153">
        <f t="shared" si="73"/>
        <v>638318.8499999999</v>
      </c>
      <c r="R456" s="153">
        <f t="shared" si="73"/>
        <v>645556.97</v>
      </c>
      <c r="S456" s="153">
        <f t="shared" si="73"/>
        <v>645556.97</v>
      </c>
      <c r="T456" s="139">
        <f t="shared" si="73"/>
        <v>74142.41200000001</v>
      </c>
      <c r="U456" s="139">
        <f t="shared" si="73"/>
        <v>503571.461</v>
      </c>
      <c r="V456" s="367"/>
    </row>
    <row r="457" spans="1:22" ht="12.75">
      <c r="A457" s="362"/>
      <c r="B457" s="41" t="s">
        <v>32</v>
      </c>
      <c r="C457" s="360"/>
      <c r="D457" s="347"/>
      <c r="E457" s="360"/>
      <c r="F457" s="370"/>
      <c r="G457" s="139">
        <f>SUM(H457)</f>
        <v>41293.5</v>
      </c>
      <c r="H457" s="139">
        <f aca="true" t="shared" si="74" ref="H457:U457">H440+H142</f>
        <v>41293.5</v>
      </c>
      <c r="I457" s="139">
        <f t="shared" si="74"/>
        <v>25280.574999999997</v>
      </c>
      <c r="J457" s="139">
        <f t="shared" si="74"/>
        <v>27010.179</v>
      </c>
      <c r="K457" s="139">
        <f t="shared" si="74"/>
        <v>27010.179</v>
      </c>
      <c r="L457" s="139">
        <f t="shared" si="74"/>
        <v>0</v>
      </c>
      <c r="M457" s="139">
        <f t="shared" si="74"/>
        <v>7860.111</v>
      </c>
      <c r="N457" s="139">
        <f t="shared" si="74"/>
        <v>5361.956</v>
      </c>
      <c r="O457" s="139">
        <f t="shared" si="74"/>
        <v>5361.956</v>
      </c>
      <c r="P457" s="139">
        <f t="shared" si="74"/>
        <v>41293.5</v>
      </c>
      <c r="Q457" s="153">
        <f t="shared" si="74"/>
        <v>33140.686</v>
      </c>
      <c r="R457" s="153">
        <f t="shared" si="74"/>
        <v>32372.135</v>
      </c>
      <c r="S457" s="153">
        <f t="shared" si="74"/>
        <v>32372.135</v>
      </c>
      <c r="T457" s="139">
        <f t="shared" si="74"/>
        <v>3575.297</v>
      </c>
      <c r="U457" s="139">
        <f t="shared" si="74"/>
        <v>27010.179</v>
      </c>
      <c r="V457" s="367"/>
    </row>
    <row r="458" spans="1:22" ht="12.75">
      <c r="A458" s="362"/>
      <c r="B458" s="41" t="s">
        <v>33</v>
      </c>
      <c r="C458" s="360"/>
      <c r="D458" s="347"/>
      <c r="E458" s="360"/>
      <c r="F458" s="370"/>
      <c r="G458" s="139">
        <f>SUM(H458)</f>
        <v>170637.19999999998</v>
      </c>
      <c r="H458" s="139">
        <f aca="true" t="shared" si="75" ref="H458:U458">H441+H143</f>
        <v>170637.19999999998</v>
      </c>
      <c r="I458" s="139">
        <f t="shared" si="75"/>
        <v>120014.605</v>
      </c>
      <c r="J458" s="139">
        <f t="shared" si="75"/>
        <v>130159.57</v>
      </c>
      <c r="K458" s="139">
        <f t="shared" si="75"/>
        <v>130159.57</v>
      </c>
      <c r="L458" s="139">
        <f t="shared" si="75"/>
        <v>0</v>
      </c>
      <c r="M458" s="139">
        <f t="shared" si="75"/>
        <v>23392.731000000003</v>
      </c>
      <c r="N458" s="139">
        <f t="shared" si="75"/>
        <v>16626.436999999998</v>
      </c>
      <c r="O458" s="139">
        <f t="shared" si="75"/>
        <v>16626.433</v>
      </c>
      <c r="P458" s="139">
        <f t="shared" si="75"/>
        <v>170637.19999999998</v>
      </c>
      <c r="Q458" s="153">
        <f t="shared" si="75"/>
        <v>143407.336</v>
      </c>
      <c r="R458" s="153">
        <f t="shared" si="75"/>
        <v>146786.007</v>
      </c>
      <c r="S458" s="153">
        <f t="shared" si="75"/>
        <v>146786.003</v>
      </c>
      <c r="T458" s="139">
        <f t="shared" si="75"/>
        <v>0</v>
      </c>
      <c r="U458" s="139">
        <f t="shared" si="75"/>
        <v>130159.57</v>
      </c>
      <c r="V458" s="367"/>
    </row>
    <row r="459" spans="1:22" ht="12.75">
      <c r="A459" s="362"/>
      <c r="B459" s="23" t="s">
        <v>37</v>
      </c>
      <c r="C459" s="360"/>
      <c r="D459" s="347"/>
      <c r="E459" s="360"/>
      <c r="F459" s="370"/>
      <c r="G459" s="140">
        <f>SUM(H459)</f>
        <v>683400</v>
      </c>
      <c r="H459" s="140">
        <f>SUM(H460:H461)</f>
        <v>683400</v>
      </c>
      <c r="I459" s="140">
        <f>SUM(I460:I461)</f>
        <v>0</v>
      </c>
      <c r="J459" s="140">
        <f>SUM(J460:J461)</f>
        <v>0</v>
      </c>
      <c r="K459" s="140">
        <f>SUM(K460:K461)</f>
        <v>0</v>
      </c>
      <c r="L459" s="140">
        <f>SUM(L460:L461)</f>
        <v>0</v>
      </c>
      <c r="M459" s="140">
        <f>SUM(M460:M461)</f>
        <v>0</v>
      </c>
      <c r="N459" s="140">
        <f>SUM(N460:N461)</f>
        <v>0</v>
      </c>
      <c r="O459" s="140">
        <f>SUM(O460:O461)</f>
        <v>0</v>
      </c>
      <c r="P459" s="140">
        <f>SUM(P460:P461)</f>
        <v>683400</v>
      </c>
      <c r="Q459" s="152">
        <f>SUM(Q460:Q461)</f>
        <v>0</v>
      </c>
      <c r="R459" s="152">
        <f>SUM(R460:R461)</f>
        <v>0</v>
      </c>
      <c r="S459" s="152">
        <f>SUM(S460:S461)</f>
        <v>0</v>
      </c>
      <c r="T459" s="140">
        <f>SUM(T460:T461)</f>
        <v>0</v>
      </c>
      <c r="U459" s="140">
        <f>SUM(U460:U461)</f>
        <v>0</v>
      </c>
      <c r="V459" s="367"/>
    </row>
    <row r="460" spans="1:22" ht="12.75">
      <c r="A460" s="362"/>
      <c r="B460" s="41" t="s">
        <v>56</v>
      </c>
      <c r="C460" s="360"/>
      <c r="D460" s="347"/>
      <c r="E460" s="360"/>
      <c r="F460" s="370"/>
      <c r="G460" s="139">
        <f>SUM(H460)</f>
        <v>357000</v>
      </c>
      <c r="H460" s="139">
        <f>H443</f>
        <v>357000</v>
      </c>
      <c r="I460" s="139">
        <f>I443</f>
        <v>0</v>
      </c>
      <c r="J460" s="139">
        <f>J443</f>
        <v>0</v>
      </c>
      <c r="K460" s="139">
        <f>K443</f>
        <v>0</v>
      </c>
      <c r="L460" s="139">
        <f>L443</f>
        <v>0</v>
      </c>
      <c r="M460" s="139">
        <f>M443</f>
        <v>0</v>
      </c>
      <c r="N460" s="139">
        <f>N443</f>
        <v>0</v>
      </c>
      <c r="O460" s="139">
        <f>O443</f>
        <v>0</v>
      </c>
      <c r="P460" s="139">
        <f>P443</f>
        <v>357000</v>
      </c>
      <c r="Q460" s="153">
        <f>Q443</f>
        <v>0</v>
      </c>
      <c r="R460" s="153">
        <f>R443</f>
        <v>0</v>
      </c>
      <c r="S460" s="153">
        <f>S443</f>
        <v>0</v>
      </c>
      <c r="T460" s="139">
        <f>T443</f>
        <v>0</v>
      </c>
      <c r="U460" s="139">
        <f>U443</f>
        <v>0</v>
      </c>
      <c r="V460" s="367"/>
    </row>
    <row r="461" spans="1:22" ht="12.75">
      <c r="A461" s="362"/>
      <c r="B461" s="41" t="s">
        <v>57</v>
      </c>
      <c r="C461" s="360"/>
      <c r="D461" s="347"/>
      <c r="E461" s="360"/>
      <c r="F461" s="370"/>
      <c r="G461" s="153">
        <f>SUM(H461)</f>
        <v>326400</v>
      </c>
      <c r="H461" s="139">
        <f>H444</f>
        <v>326400</v>
      </c>
      <c r="I461" s="139">
        <f>I444</f>
        <v>0</v>
      </c>
      <c r="J461" s="139">
        <f>J444</f>
        <v>0</v>
      </c>
      <c r="K461" s="139">
        <f>K444</f>
        <v>0</v>
      </c>
      <c r="L461" s="139">
        <f>L444</f>
        <v>0</v>
      </c>
      <c r="M461" s="139">
        <f>M444</f>
        <v>0</v>
      </c>
      <c r="N461" s="139">
        <f>N444</f>
        <v>0</v>
      </c>
      <c r="O461" s="139">
        <f>O444</f>
        <v>0</v>
      </c>
      <c r="P461" s="139">
        <f>P444</f>
        <v>326400</v>
      </c>
      <c r="Q461" s="153">
        <f>Q444</f>
        <v>0</v>
      </c>
      <c r="R461" s="153">
        <f>R444</f>
        <v>0</v>
      </c>
      <c r="S461" s="153">
        <f>S444</f>
        <v>0</v>
      </c>
      <c r="T461" s="139">
        <f>T444</f>
        <v>0</v>
      </c>
      <c r="U461" s="139">
        <f>U444</f>
        <v>0</v>
      </c>
      <c r="V461" s="367"/>
    </row>
    <row r="462" spans="1:22" s="197" customFormat="1" ht="13.5">
      <c r="A462" s="362"/>
      <c r="B462" s="22" t="s">
        <v>132</v>
      </c>
      <c r="C462" s="360"/>
      <c r="D462" s="347"/>
      <c r="E462" s="360"/>
      <c r="F462" s="370"/>
      <c r="G462" s="140">
        <v>75000</v>
      </c>
      <c r="H462" s="133"/>
      <c r="I462" s="133"/>
      <c r="J462" s="133"/>
      <c r="K462" s="133"/>
      <c r="L462" s="133">
        <v>75000</v>
      </c>
      <c r="M462" s="133"/>
      <c r="N462" s="133"/>
      <c r="O462" s="133"/>
      <c r="P462" s="133"/>
      <c r="Q462" s="148"/>
      <c r="R462" s="148"/>
      <c r="S462" s="148"/>
      <c r="T462" s="140">
        <v>75000</v>
      </c>
      <c r="U462" s="133"/>
      <c r="V462" s="367"/>
    </row>
    <row r="463" spans="1:22" ht="12.75">
      <c r="A463" s="363"/>
      <c r="B463" s="22" t="s">
        <v>118</v>
      </c>
      <c r="C463" s="361"/>
      <c r="D463" s="348"/>
      <c r="E463" s="361"/>
      <c r="F463" s="371"/>
      <c r="G463" s="140">
        <v>386100</v>
      </c>
      <c r="H463" s="140">
        <f>H56</f>
        <v>289575</v>
      </c>
      <c r="I463" s="140">
        <f>I56</f>
        <v>0</v>
      </c>
      <c r="J463" s="140">
        <f>J56</f>
        <v>0</v>
      </c>
      <c r="K463" s="140">
        <f>K56</f>
        <v>0</v>
      </c>
      <c r="L463" s="140">
        <f>L56</f>
        <v>96525</v>
      </c>
      <c r="M463" s="140">
        <f>M56</f>
        <v>26582.837</v>
      </c>
      <c r="N463" s="140">
        <f>N56</f>
        <v>395655.169</v>
      </c>
      <c r="O463" s="140">
        <f>O56</f>
        <v>16721.404</v>
      </c>
      <c r="P463" s="140">
        <f>P56</f>
        <v>386100</v>
      </c>
      <c r="Q463" s="152">
        <f>Q56</f>
        <v>26582.837</v>
      </c>
      <c r="R463" s="152">
        <f>R56</f>
        <v>395655.169</v>
      </c>
      <c r="S463" s="152">
        <f>S56</f>
        <v>16721.404</v>
      </c>
      <c r="T463" s="140">
        <f>T56</f>
        <v>96525</v>
      </c>
      <c r="U463" s="140">
        <f>U56</f>
        <v>0</v>
      </c>
      <c r="V463" s="368"/>
    </row>
    <row r="464" spans="1:22" ht="12.75">
      <c r="A464" s="191"/>
      <c r="B464" s="132"/>
      <c r="C464" s="192"/>
      <c r="D464" s="193"/>
      <c r="E464" s="192"/>
      <c r="F464" s="194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95"/>
    </row>
    <row r="465" spans="1:22" ht="12.75">
      <c r="A465" s="191"/>
      <c r="B465" s="132"/>
      <c r="C465" s="192"/>
      <c r="D465" s="193"/>
      <c r="E465" s="192"/>
      <c r="F465" s="194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195"/>
    </row>
    <row r="466" ht="12.75">
      <c r="J466" s="131"/>
    </row>
    <row r="467" spans="2:13" ht="12.75">
      <c r="B467" s="129" t="s">
        <v>188</v>
      </c>
      <c r="K467" s="131"/>
      <c r="M467" s="131" t="s">
        <v>189</v>
      </c>
    </row>
    <row r="468" spans="11:13" ht="12.75">
      <c r="K468" s="131"/>
      <c r="M468" s="131"/>
    </row>
    <row r="469" spans="2:13" ht="12.75">
      <c r="B469" s="129" t="s">
        <v>190</v>
      </c>
      <c r="K469" s="131"/>
      <c r="M469" s="131" t="s">
        <v>191</v>
      </c>
    </row>
    <row r="470" spans="11:13" ht="12.75">
      <c r="K470" s="131"/>
      <c r="M470" s="131"/>
    </row>
    <row r="471" spans="2:13" ht="12.75">
      <c r="B471" s="129" t="s">
        <v>201</v>
      </c>
      <c r="K471" s="131"/>
      <c r="M471" s="131" t="s">
        <v>192</v>
      </c>
    </row>
    <row r="472" spans="11:13" ht="12.75">
      <c r="K472" s="131"/>
      <c r="M472" s="131"/>
    </row>
    <row r="473" spans="2:13" ht="12.75">
      <c r="B473" s="129" t="s">
        <v>193</v>
      </c>
      <c r="K473" s="131"/>
      <c r="M473" s="131" t="s">
        <v>194</v>
      </c>
    </row>
    <row r="474" spans="10:11" ht="12.75">
      <c r="J474" s="131"/>
      <c r="K474" s="131"/>
    </row>
    <row r="475" spans="2:10" ht="12.75">
      <c r="B475" s="129" t="s">
        <v>195</v>
      </c>
      <c r="J475" s="131"/>
    </row>
    <row r="476" ht="12.75">
      <c r="J476" s="131"/>
    </row>
    <row r="477" spans="2:7" ht="12.75">
      <c r="B477" s="129" t="s">
        <v>196</v>
      </c>
      <c r="G477" s="131" t="s">
        <v>197</v>
      </c>
    </row>
    <row r="478" ht="12.75">
      <c r="G478" s="131"/>
    </row>
    <row r="479" spans="2:7" ht="12.75">
      <c r="B479" s="129" t="s">
        <v>198</v>
      </c>
      <c r="G479" s="131" t="s">
        <v>199</v>
      </c>
    </row>
  </sheetData>
  <sheetProtection/>
  <mergeCells count="577">
    <mergeCell ref="S373:S374"/>
    <mergeCell ref="S384:S385"/>
    <mergeCell ref="S395:S396"/>
    <mergeCell ref="S406:S407"/>
    <mergeCell ref="S417:S418"/>
    <mergeCell ref="M7:M8"/>
    <mergeCell ref="M31:M32"/>
    <mergeCell ref="M156:M157"/>
    <mergeCell ref="M347:M348"/>
    <mergeCell ref="S156:S157"/>
    <mergeCell ref="S187:S188"/>
    <mergeCell ref="S198:S199"/>
    <mergeCell ref="S231:S232"/>
    <mergeCell ref="S242:S243"/>
    <mergeCell ref="S256:S257"/>
    <mergeCell ref="S278:S279"/>
    <mergeCell ref="S291:S292"/>
    <mergeCell ref="S302:S303"/>
    <mergeCell ref="R156:R157"/>
    <mergeCell ref="R187:R188"/>
    <mergeCell ref="R198:R199"/>
    <mergeCell ref="R231:R232"/>
    <mergeCell ref="R242:R243"/>
    <mergeCell ref="R256:R257"/>
    <mergeCell ref="R291:R292"/>
    <mergeCell ref="R302:R303"/>
    <mergeCell ref="Q156:Q157"/>
    <mergeCell ref="Q187:Q188"/>
    <mergeCell ref="Q198:Q199"/>
    <mergeCell ref="Q231:Q232"/>
    <mergeCell ref="Q242:Q243"/>
    <mergeCell ref="Q256:Q257"/>
    <mergeCell ref="Q278:Q279"/>
    <mergeCell ref="Q291:Q292"/>
    <mergeCell ref="Q302:Q303"/>
    <mergeCell ref="P291:P292"/>
    <mergeCell ref="P302:P303"/>
    <mergeCell ref="P325:P326"/>
    <mergeCell ref="P336:P337"/>
    <mergeCell ref="P347:P348"/>
    <mergeCell ref="L347:L348"/>
    <mergeCell ref="L361:L362"/>
    <mergeCell ref="P361:P362"/>
    <mergeCell ref="P373:P374"/>
    <mergeCell ref="L291:L292"/>
    <mergeCell ref="L325:L326"/>
    <mergeCell ref="L336:L337"/>
    <mergeCell ref="M302:M303"/>
    <mergeCell ref="N302:N303"/>
    <mergeCell ref="O302:O303"/>
    <mergeCell ref="P256:P257"/>
    <mergeCell ref="P278:P279"/>
    <mergeCell ref="R58:R59"/>
    <mergeCell ref="P89:P90"/>
    <mergeCell ref="L231:L232"/>
    <mergeCell ref="L242:L243"/>
    <mergeCell ref="L256:L257"/>
    <mergeCell ref="L278:L279"/>
    <mergeCell ref="R278:R279"/>
    <mergeCell ref="Q89:Q90"/>
    <mergeCell ref="R89:R90"/>
    <mergeCell ref="R111:R112"/>
    <mergeCell ref="M242:M243"/>
    <mergeCell ref="N242:N243"/>
    <mergeCell ref="O242:O243"/>
    <mergeCell ref="M278:M279"/>
    <mergeCell ref="N278:N279"/>
    <mergeCell ref="O278:O279"/>
    <mergeCell ref="A197:A207"/>
    <mergeCell ref="C197:C207"/>
    <mergeCell ref="D197:D207"/>
    <mergeCell ref="J156:J157"/>
    <mergeCell ref="K156:K157"/>
    <mergeCell ref="I156:I157"/>
    <mergeCell ref="P156:P157"/>
    <mergeCell ref="P187:P188"/>
    <mergeCell ref="P198:P199"/>
    <mergeCell ref="L198:L199"/>
    <mergeCell ref="D186:D196"/>
    <mergeCell ref="C208:C218"/>
    <mergeCell ref="D208:D218"/>
    <mergeCell ref="T187:T188"/>
    <mergeCell ref="G187:G188"/>
    <mergeCell ref="L187:L188"/>
    <mergeCell ref="C57:C76"/>
    <mergeCell ref="E57:E76"/>
    <mergeCell ref="A132:A134"/>
    <mergeCell ref="B151:B152"/>
    <mergeCell ref="A151:A152"/>
    <mergeCell ref="C135:C146"/>
    <mergeCell ref="C186:C196"/>
    <mergeCell ref="A155:A185"/>
    <mergeCell ref="A186:A196"/>
    <mergeCell ref="E155:E185"/>
    <mergeCell ref="G58:G59"/>
    <mergeCell ref="E151:E152"/>
    <mergeCell ref="E135:E146"/>
    <mergeCell ref="G89:G90"/>
    <mergeCell ref="A135:A146"/>
    <mergeCell ref="G78:G79"/>
    <mergeCell ref="S89:S90"/>
    <mergeCell ref="Q100:Q101"/>
    <mergeCell ref="S111:S112"/>
    <mergeCell ref="A30:A56"/>
    <mergeCell ref="C30:C56"/>
    <mergeCell ref="A88:A98"/>
    <mergeCell ref="A77:A87"/>
    <mergeCell ref="A57:A76"/>
    <mergeCell ref="C77:C87"/>
    <mergeCell ref="F57:F76"/>
    <mergeCell ref="E30:E56"/>
    <mergeCell ref="D88:D98"/>
    <mergeCell ref="C88:C98"/>
    <mergeCell ref="F88:F98"/>
    <mergeCell ref="E88:E98"/>
    <mergeCell ref="D30:D56"/>
    <mergeCell ref="D57:D76"/>
    <mergeCell ref="E77:E87"/>
    <mergeCell ref="D77:D87"/>
    <mergeCell ref="V301:V312"/>
    <mergeCell ref="E266:E276"/>
    <mergeCell ref="U231:U232"/>
    <mergeCell ref="T220:T221"/>
    <mergeCell ref="T231:T232"/>
    <mergeCell ref="T242:T243"/>
    <mergeCell ref="T133:T134"/>
    <mergeCell ref="G133:G134"/>
    <mergeCell ref="I417:I418"/>
    <mergeCell ref="J417:J418"/>
    <mergeCell ref="K417:K418"/>
    <mergeCell ref="V155:V185"/>
    <mergeCell ref="V186:V196"/>
    <mergeCell ref="V230:V240"/>
    <mergeCell ref="U209:U210"/>
    <mergeCell ref="V219:V229"/>
    <mergeCell ref="V197:V207"/>
    <mergeCell ref="U187:U188"/>
    <mergeCell ref="U198:U199"/>
    <mergeCell ref="V208:V218"/>
    <mergeCell ref="V241:V254"/>
    <mergeCell ref="U220:U221"/>
    <mergeCell ref="U242:U243"/>
    <mergeCell ref="T156:T157"/>
    <mergeCell ref="U267:U268"/>
    <mergeCell ref="T267:T268"/>
    <mergeCell ref="T256:T257"/>
    <mergeCell ref="V255:V265"/>
    <mergeCell ref="U256:U257"/>
    <mergeCell ref="D266:D276"/>
    <mergeCell ref="E230:E240"/>
    <mergeCell ref="E255:E265"/>
    <mergeCell ref="A208:A218"/>
    <mergeCell ref="D219:D229"/>
    <mergeCell ref="A266:A276"/>
    <mergeCell ref="A255:A265"/>
    <mergeCell ref="C266:C276"/>
    <mergeCell ref="E208:E218"/>
    <mergeCell ref="E219:E229"/>
    <mergeCell ref="C241:C254"/>
    <mergeCell ref="D241:D254"/>
    <mergeCell ref="A241:A254"/>
    <mergeCell ref="A230:A240"/>
    <mergeCell ref="D230:D240"/>
    <mergeCell ref="A219:A229"/>
    <mergeCell ref="T209:T210"/>
    <mergeCell ref="P231:P232"/>
    <mergeCell ref="P242:P243"/>
    <mergeCell ref="G220:G221"/>
    <mergeCell ref="H220:H221"/>
    <mergeCell ref="G231:G232"/>
    <mergeCell ref="H231:H232"/>
    <mergeCell ref="F230:F240"/>
    <mergeCell ref="A290:A300"/>
    <mergeCell ref="C290:C300"/>
    <mergeCell ref="C255:C265"/>
    <mergeCell ref="V277:V289"/>
    <mergeCell ref="G278:G279"/>
    <mergeCell ref="H278:H279"/>
    <mergeCell ref="A277:A289"/>
    <mergeCell ref="D277:D289"/>
    <mergeCell ref="E277:E289"/>
    <mergeCell ref="F277:F289"/>
    <mergeCell ref="U278:U279"/>
    <mergeCell ref="T278:T279"/>
    <mergeCell ref="V266:V276"/>
    <mergeCell ref="V290:V300"/>
    <mergeCell ref="G291:G292"/>
    <mergeCell ref="H291:H292"/>
    <mergeCell ref="G267:G268"/>
    <mergeCell ref="H267:H268"/>
    <mergeCell ref="F266:F276"/>
    <mergeCell ref="U100:U101"/>
    <mergeCell ref="C110:C120"/>
    <mergeCell ref="D110:D120"/>
    <mergeCell ref="A121:A131"/>
    <mergeCell ref="G111:G112"/>
    <mergeCell ref="F121:F131"/>
    <mergeCell ref="U111:U112"/>
    <mergeCell ref="U122:U123"/>
    <mergeCell ref="H111:H112"/>
    <mergeCell ref="D121:D131"/>
    <mergeCell ref="E99:E109"/>
    <mergeCell ref="E121:E131"/>
    <mergeCell ref="F110:F120"/>
    <mergeCell ref="G100:G101"/>
    <mergeCell ref="F99:F109"/>
    <mergeCell ref="C121:C131"/>
    <mergeCell ref="E110:E120"/>
    <mergeCell ref="P100:P101"/>
    <mergeCell ref="P111:P112"/>
    <mergeCell ref="A110:A120"/>
    <mergeCell ref="D99:D109"/>
    <mergeCell ref="R100:R101"/>
    <mergeCell ref="S100:S101"/>
    <mergeCell ref="Q111:Q112"/>
    <mergeCell ref="V151:V152"/>
    <mergeCell ref="V135:V146"/>
    <mergeCell ref="H151:U151"/>
    <mergeCell ref="H89:H90"/>
    <mergeCell ref="T78:T79"/>
    <mergeCell ref="H78:H79"/>
    <mergeCell ref="T111:T112"/>
    <mergeCell ref="V88:V98"/>
    <mergeCell ref="U89:U90"/>
    <mergeCell ref="H122:H123"/>
    <mergeCell ref="H100:H101"/>
    <mergeCell ref="T100:T101"/>
    <mergeCell ref="P122:P123"/>
    <mergeCell ref="P133:P134"/>
    <mergeCell ref="Q122:Q123"/>
    <mergeCell ref="R122:R123"/>
    <mergeCell ref="S122:S123"/>
    <mergeCell ref="Q133:Q134"/>
    <mergeCell ref="R133:R134"/>
    <mergeCell ref="S133:S134"/>
    <mergeCell ref="I136:I137"/>
    <mergeCell ref="J136:J137"/>
    <mergeCell ref="K136:K137"/>
    <mergeCell ref="T122:T123"/>
    <mergeCell ref="A1:A2"/>
    <mergeCell ref="B4:G4"/>
    <mergeCell ref="F1:F2"/>
    <mergeCell ref="A6:A29"/>
    <mergeCell ref="B1:B2"/>
    <mergeCell ref="F6:F29"/>
    <mergeCell ref="E6:E29"/>
    <mergeCell ref="E1:E2"/>
    <mergeCell ref="C1:C2"/>
    <mergeCell ref="D1:D2"/>
    <mergeCell ref="G7:G8"/>
    <mergeCell ref="T7:T8"/>
    <mergeCell ref="A99:A109"/>
    <mergeCell ref="C99:C109"/>
    <mergeCell ref="V1:V2"/>
    <mergeCell ref="V6:V29"/>
    <mergeCell ref="U7:U8"/>
    <mergeCell ref="C6:C29"/>
    <mergeCell ref="D6:D29"/>
    <mergeCell ref="V30:V56"/>
    <mergeCell ref="V57:V76"/>
    <mergeCell ref="T58:T59"/>
    <mergeCell ref="H1:K1"/>
    <mergeCell ref="G1:G2"/>
    <mergeCell ref="I58:I59"/>
    <mergeCell ref="J58:J59"/>
    <mergeCell ref="K58:K59"/>
    <mergeCell ref="G31:G32"/>
    <mergeCell ref="F30:F56"/>
    <mergeCell ref="F77:F87"/>
    <mergeCell ref="U31:U32"/>
    <mergeCell ref="H31:H32"/>
    <mergeCell ref="T31:T32"/>
    <mergeCell ref="V77:V87"/>
    <mergeCell ref="U58:U59"/>
    <mergeCell ref="T291:T292"/>
    <mergeCell ref="U291:U292"/>
    <mergeCell ref="U156:U157"/>
    <mergeCell ref="H156:H157"/>
    <mergeCell ref="U78:U79"/>
    <mergeCell ref="U136:U137"/>
    <mergeCell ref="T198:T199"/>
    <mergeCell ref="U133:U134"/>
    <mergeCell ref="T89:T90"/>
    <mergeCell ref="T136:T137"/>
    <mergeCell ref="I133:I134"/>
    <mergeCell ref="J133:J134"/>
    <mergeCell ref="K133:K134"/>
    <mergeCell ref="L122:L123"/>
    <mergeCell ref="L133:L134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L156:L157"/>
    <mergeCell ref="D290:D300"/>
    <mergeCell ref="D255:D265"/>
    <mergeCell ref="G136:G137"/>
    <mergeCell ref="G209:G210"/>
    <mergeCell ref="F186:F196"/>
    <mergeCell ref="G198:G199"/>
    <mergeCell ref="E186:E196"/>
    <mergeCell ref="C277:C289"/>
    <mergeCell ref="C219:C229"/>
    <mergeCell ref="G242:G243"/>
    <mergeCell ref="F241:F254"/>
    <mergeCell ref="E197:E207"/>
    <mergeCell ref="D135:D146"/>
    <mergeCell ref="E241:E254"/>
    <mergeCell ref="G151:G152"/>
    <mergeCell ref="F155:F185"/>
    <mergeCell ref="G156:G157"/>
    <mergeCell ref="C155:C185"/>
    <mergeCell ref="C230:C240"/>
    <mergeCell ref="D155:D185"/>
    <mergeCell ref="C151:C152"/>
    <mergeCell ref="E290:E300"/>
    <mergeCell ref="F290:F300"/>
    <mergeCell ref="D151:D152"/>
    <mergeCell ref="T302:T303"/>
    <mergeCell ref="T314:T315"/>
    <mergeCell ref="A313:A323"/>
    <mergeCell ref="G314:G315"/>
    <mergeCell ref="C313:C323"/>
    <mergeCell ref="D313:D323"/>
    <mergeCell ref="C301:C312"/>
    <mergeCell ref="A301:A312"/>
    <mergeCell ref="U302:U303"/>
    <mergeCell ref="F301:F312"/>
    <mergeCell ref="F313:F323"/>
    <mergeCell ref="H302:H303"/>
    <mergeCell ref="G302:G303"/>
    <mergeCell ref="I302:I303"/>
    <mergeCell ref="J302:J303"/>
    <mergeCell ref="K302:K303"/>
    <mergeCell ref="E313:E323"/>
    <mergeCell ref="E301:E312"/>
    <mergeCell ref="D301:D312"/>
    <mergeCell ref="L302:L303"/>
    <mergeCell ref="A324:A334"/>
    <mergeCell ref="C324:C334"/>
    <mergeCell ref="A346:A359"/>
    <mergeCell ref="C346:C359"/>
    <mergeCell ref="D346:D359"/>
    <mergeCell ref="E346:E359"/>
    <mergeCell ref="T336:T337"/>
    <mergeCell ref="U336:U337"/>
    <mergeCell ref="U325:U326"/>
    <mergeCell ref="H325:H326"/>
    <mergeCell ref="A335:A345"/>
    <mergeCell ref="C335:C345"/>
    <mergeCell ref="G336:G337"/>
    <mergeCell ref="H336:H337"/>
    <mergeCell ref="D335:D345"/>
    <mergeCell ref="E335:E345"/>
    <mergeCell ref="F335:F345"/>
    <mergeCell ref="D324:D334"/>
    <mergeCell ref="E324:E334"/>
    <mergeCell ref="Q325:Q326"/>
    <mergeCell ref="Q336:Q337"/>
    <mergeCell ref="Q347:Q348"/>
    <mergeCell ref="R325:R326"/>
    <mergeCell ref="R336:R337"/>
    <mergeCell ref="T373:T374"/>
    <mergeCell ref="U373:U374"/>
    <mergeCell ref="H361:H362"/>
    <mergeCell ref="T361:T362"/>
    <mergeCell ref="V372:V382"/>
    <mergeCell ref="U361:U362"/>
    <mergeCell ref="G361:G362"/>
    <mergeCell ref="V313:V323"/>
    <mergeCell ref="H314:H315"/>
    <mergeCell ref="T325:T326"/>
    <mergeCell ref="G325:G326"/>
    <mergeCell ref="V335:V345"/>
    <mergeCell ref="V324:V334"/>
    <mergeCell ref="U314:U315"/>
    <mergeCell ref="L373:L374"/>
    <mergeCell ref="Q361:Q362"/>
    <mergeCell ref="Q373:Q374"/>
    <mergeCell ref="R347:R348"/>
    <mergeCell ref="R361:R362"/>
    <mergeCell ref="R373:R374"/>
    <mergeCell ref="S325:S326"/>
    <mergeCell ref="S336:S337"/>
    <mergeCell ref="S347:S348"/>
    <mergeCell ref="S361:S362"/>
    <mergeCell ref="E360:E371"/>
    <mergeCell ref="V346:V359"/>
    <mergeCell ref="G347:G348"/>
    <mergeCell ref="H347:H348"/>
    <mergeCell ref="T347:T348"/>
    <mergeCell ref="U347:U348"/>
    <mergeCell ref="I347:I348"/>
    <mergeCell ref="J347:J348"/>
    <mergeCell ref="K347:K348"/>
    <mergeCell ref="V360:V371"/>
    <mergeCell ref="F346:F359"/>
    <mergeCell ref="F360:F371"/>
    <mergeCell ref="I361:I362"/>
    <mergeCell ref="J361:J362"/>
    <mergeCell ref="K361:K362"/>
    <mergeCell ref="V394:V404"/>
    <mergeCell ref="G395:G396"/>
    <mergeCell ref="V383:V393"/>
    <mergeCell ref="T384:T385"/>
    <mergeCell ref="U384:U385"/>
    <mergeCell ref="H395:H396"/>
    <mergeCell ref="T395:T396"/>
    <mergeCell ref="U395:U396"/>
    <mergeCell ref="G384:G385"/>
    <mergeCell ref="P384:P385"/>
    <mergeCell ref="L384:L385"/>
    <mergeCell ref="P395:P396"/>
    <mergeCell ref="Q384:Q385"/>
    <mergeCell ref="Q395:Q396"/>
    <mergeCell ref="R384:R385"/>
    <mergeCell ref="R395:R396"/>
    <mergeCell ref="L395:L396"/>
    <mergeCell ref="V405:V415"/>
    <mergeCell ref="U406:U407"/>
    <mergeCell ref="T406:T407"/>
    <mergeCell ref="D405:D415"/>
    <mergeCell ref="E405:E415"/>
    <mergeCell ref="F405:F415"/>
    <mergeCell ref="G406:G407"/>
    <mergeCell ref="H406:H407"/>
    <mergeCell ref="D416:D429"/>
    <mergeCell ref="H417:H418"/>
    <mergeCell ref="L406:L407"/>
    <mergeCell ref="L417:L418"/>
    <mergeCell ref="M417:M418"/>
    <mergeCell ref="P406:P407"/>
    <mergeCell ref="P417:P418"/>
    <mergeCell ref="Q406:Q407"/>
    <mergeCell ref="Q417:Q418"/>
    <mergeCell ref="R406:R407"/>
    <mergeCell ref="R417:R418"/>
    <mergeCell ref="N417:N418"/>
    <mergeCell ref="O417:O418"/>
    <mergeCell ref="G431:G432"/>
    <mergeCell ref="T434:T435"/>
    <mergeCell ref="V433:V445"/>
    <mergeCell ref="U434:U435"/>
    <mergeCell ref="G417:G418"/>
    <mergeCell ref="V416:V429"/>
    <mergeCell ref="T417:T418"/>
    <mergeCell ref="U417:U418"/>
    <mergeCell ref="T431:T432"/>
    <mergeCell ref="U431:U432"/>
    <mergeCell ref="K434:K435"/>
    <mergeCell ref="I431:I432"/>
    <mergeCell ref="J431:J432"/>
    <mergeCell ref="K431:K432"/>
    <mergeCell ref="L431:L432"/>
    <mergeCell ref="M431:M432"/>
    <mergeCell ref="L434:L435"/>
    <mergeCell ref="M434:M435"/>
    <mergeCell ref="N434:N435"/>
    <mergeCell ref="O434:O435"/>
    <mergeCell ref="P434:P435"/>
    <mergeCell ref="Q434:Q435"/>
    <mergeCell ref="R434:R435"/>
    <mergeCell ref="S434:S435"/>
    <mergeCell ref="V450:V463"/>
    <mergeCell ref="G451:G452"/>
    <mergeCell ref="H451:H452"/>
    <mergeCell ref="T451:T452"/>
    <mergeCell ref="U451:U452"/>
    <mergeCell ref="F450:F463"/>
    <mergeCell ref="I451:I452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E450:E463"/>
    <mergeCell ref="E433:E445"/>
    <mergeCell ref="A450:A463"/>
    <mergeCell ref="C450:C463"/>
    <mergeCell ref="D450:D463"/>
    <mergeCell ref="A416:A429"/>
    <mergeCell ref="A433:A445"/>
    <mergeCell ref="A430:A432"/>
    <mergeCell ref="C433:C445"/>
    <mergeCell ref="C416:C429"/>
    <mergeCell ref="D433:D445"/>
    <mergeCell ref="E416:E429"/>
    <mergeCell ref="E383:E393"/>
    <mergeCell ref="E372:E382"/>
    <mergeCell ref="A360:A371"/>
    <mergeCell ref="C360:C371"/>
    <mergeCell ref="D360:D371"/>
    <mergeCell ref="A372:A382"/>
    <mergeCell ref="H7:H8"/>
    <mergeCell ref="I434:I435"/>
    <mergeCell ref="J434:J435"/>
    <mergeCell ref="C372:C382"/>
    <mergeCell ref="D383:D393"/>
    <mergeCell ref="D372:D382"/>
    <mergeCell ref="A383:A393"/>
    <mergeCell ref="C383:C393"/>
    <mergeCell ref="A405:A415"/>
    <mergeCell ref="C405:C415"/>
    <mergeCell ref="E394:E404"/>
    <mergeCell ref="A394:A404"/>
    <mergeCell ref="C394:C404"/>
    <mergeCell ref="D394:D404"/>
    <mergeCell ref="G434:G435"/>
    <mergeCell ref="H434:H435"/>
    <mergeCell ref="F433:F445"/>
    <mergeCell ref="H431:H432"/>
    <mergeCell ref="G373:G374"/>
    <mergeCell ref="H373:H374"/>
    <mergeCell ref="F324:F334"/>
    <mergeCell ref="F135:F146"/>
    <mergeCell ref="H58:H59"/>
    <mergeCell ref="F394:F404"/>
    <mergeCell ref="F416:F429"/>
    <mergeCell ref="F383:F393"/>
    <mergeCell ref="H384:H385"/>
    <mergeCell ref="F372:F382"/>
    <mergeCell ref="H242:H243"/>
    <mergeCell ref="H136:H137"/>
    <mergeCell ref="H133:H134"/>
    <mergeCell ref="G122:G123"/>
    <mergeCell ref="H198:H199"/>
    <mergeCell ref="H256:H257"/>
    <mergeCell ref="G256:G257"/>
    <mergeCell ref="F151:F152"/>
    <mergeCell ref="F255:F265"/>
    <mergeCell ref="H209:H210"/>
    <mergeCell ref="F219:F229"/>
    <mergeCell ref="H187:H188"/>
    <mergeCell ref="F208:F218"/>
    <mergeCell ref="F197:F207"/>
    <mergeCell ref="P1:S1"/>
    <mergeCell ref="L7:L8"/>
    <mergeCell ref="L31:L32"/>
    <mergeCell ref="L58:L59"/>
    <mergeCell ref="L89:L90"/>
    <mergeCell ref="L100:L101"/>
    <mergeCell ref="L111:L112"/>
    <mergeCell ref="I7:I8"/>
    <mergeCell ref="J7:J8"/>
    <mergeCell ref="K7:K8"/>
    <mergeCell ref="I31:I32"/>
    <mergeCell ref="J31:J32"/>
    <mergeCell ref="K31:K32"/>
    <mergeCell ref="P7:P8"/>
    <mergeCell ref="P31:P32"/>
    <mergeCell ref="P58:P59"/>
    <mergeCell ref="Q7:Q8"/>
    <mergeCell ref="R7:R8"/>
    <mergeCell ref="S7:S8"/>
    <mergeCell ref="Q31:Q32"/>
    <mergeCell ref="R31:R32"/>
    <mergeCell ref="S31:S32"/>
    <mergeCell ref="Q58:Q59"/>
    <mergeCell ref="S58:S59"/>
    <mergeCell ref="N7:N8"/>
    <mergeCell ref="O7:O8"/>
    <mergeCell ref="N31:N32"/>
    <mergeCell ref="O31:O32"/>
    <mergeCell ref="N156:N157"/>
    <mergeCell ref="O156:O157"/>
    <mergeCell ref="N347:N348"/>
    <mergeCell ref="O347:O348"/>
    <mergeCell ref="L1:O1"/>
  </mergeCells>
  <printOptions/>
  <pageMargins left="0.4330708661417323" right="0" top="1.1811023622047245" bottom="0.5905511811023623" header="0.4724409448818898" footer="0.2755905511811024"/>
  <pageSetup fitToHeight="14" horizontalDpi="600" verticalDpi="600" orientation="landscape" paperSize="9" r:id="rId1"/>
  <rowBreaks count="1" manualBreakCount="1">
    <brk id="45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zoomScalePageLayoutView="0" workbookViewId="0" topLeftCell="A49">
      <selection activeCell="C10" sqref="C10"/>
    </sheetView>
  </sheetViews>
  <sheetFormatPr defaultColWidth="9.00390625" defaultRowHeight="12.75"/>
  <cols>
    <col min="1" max="1" width="7.875" style="0" customWidth="1"/>
    <col min="2" max="2" width="51.875" style="0" customWidth="1"/>
    <col min="3" max="4" width="14.625" style="0" customWidth="1"/>
    <col min="5" max="5" width="12.125" style="0" customWidth="1"/>
    <col min="6" max="6" width="11.875" style="0" customWidth="1"/>
    <col min="7" max="7" width="12.25390625" style="0" hidden="1" customWidth="1"/>
  </cols>
  <sheetData>
    <row r="1" s="125" customFormat="1" ht="18.75">
      <c r="A1" s="120" t="s">
        <v>174</v>
      </c>
    </row>
    <row r="2" ht="15.75">
      <c r="A2" s="121"/>
    </row>
    <row r="3" ht="18.75">
      <c r="A3" s="120" t="s">
        <v>175</v>
      </c>
    </row>
    <row r="4" spans="1:6" ht="13.5">
      <c r="A4" s="423" t="s">
        <v>176</v>
      </c>
      <c r="B4" s="421"/>
      <c r="C4" s="421"/>
      <c r="D4" s="421"/>
      <c r="E4" s="421"/>
      <c r="F4" s="421"/>
    </row>
    <row r="5" ht="15.75">
      <c r="A5" s="123" t="s">
        <v>241</v>
      </c>
    </row>
    <row r="6" ht="15.75">
      <c r="A6" s="222" t="s">
        <v>244</v>
      </c>
    </row>
    <row r="7" spans="1:6" ht="13.5">
      <c r="A7" s="420" t="s">
        <v>242</v>
      </c>
      <c r="B7" s="421"/>
      <c r="C7" s="421"/>
      <c r="D7" s="421"/>
      <c r="E7" s="421"/>
      <c r="F7" s="421"/>
    </row>
    <row r="8" spans="1:7" ht="16.5" customHeight="1">
      <c r="A8" s="420" t="s">
        <v>243</v>
      </c>
      <c r="B8" s="421"/>
      <c r="C8" s="421"/>
      <c r="D8" s="421"/>
      <c r="E8" s="421"/>
      <c r="F8" s="421"/>
      <c r="G8" s="421"/>
    </row>
    <row r="9" spans="1:7" ht="13.5" customHeight="1">
      <c r="A9" s="420" t="s">
        <v>213</v>
      </c>
      <c r="B9" s="421"/>
      <c r="C9" s="421"/>
      <c r="D9" s="421"/>
      <c r="E9" s="421"/>
      <c r="F9" s="421"/>
      <c r="G9" s="421"/>
    </row>
    <row r="10" spans="1:7" ht="13.5" customHeight="1">
      <c r="A10" s="222" t="s">
        <v>269</v>
      </c>
      <c r="B10" s="240"/>
      <c r="C10" s="240"/>
      <c r="D10" s="240"/>
      <c r="E10" s="240"/>
      <c r="F10" s="240"/>
      <c r="G10" s="240"/>
    </row>
    <row r="11" spans="1:7" ht="15.75">
      <c r="A11" s="124"/>
      <c r="B11" s="420"/>
      <c r="C11" s="421"/>
      <c r="D11" s="421"/>
      <c r="E11" s="421"/>
      <c r="F11" s="421"/>
      <c r="G11" s="421"/>
    </row>
    <row r="12" spans="1:6" ht="30" customHeight="1">
      <c r="A12" s="423" t="s">
        <v>177</v>
      </c>
      <c r="B12" s="421"/>
      <c r="C12" s="421"/>
      <c r="D12" s="421"/>
      <c r="E12" s="421"/>
      <c r="F12" s="421"/>
    </row>
    <row r="13" spans="1:6" ht="13.5">
      <c r="A13" s="420" t="s">
        <v>270</v>
      </c>
      <c r="B13" s="421"/>
      <c r="C13" s="421"/>
      <c r="D13" s="421"/>
      <c r="E13" s="421"/>
      <c r="F13" s="421"/>
    </row>
    <row r="14" spans="1:6" ht="13.5">
      <c r="A14" s="420" t="s">
        <v>245</v>
      </c>
      <c r="B14" s="421"/>
      <c r="C14" s="421"/>
      <c r="D14" s="421"/>
      <c r="E14" s="421"/>
      <c r="F14" s="421"/>
    </row>
    <row r="15" spans="1:6" ht="15.75">
      <c r="A15" s="222" t="s">
        <v>217</v>
      </c>
      <c r="B15" s="218"/>
      <c r="C15" s="218"/>
      <c r="D15" s="218"/>
      <c r="E15" s="218"/>
      <c r="F15" s="218"/>
    </row>
    <row r="16" ht="15.75">
      <c r="A16" s="222" t="s">
        <v>246</v>
      </c>
    </row>
    <row r="17" ht="15.75">
      <c r="A17" s="222" t="s">
        <v>231</v>
      </c>
    </row>
    <row r="18" ht="15.75">
      <c r="A18" s="222"/>
    </row>
    <row r="19" spans="1:6" s="125" customFormat="1" ht="13.5" customHeight="1">
      <c r="A19" s="122" t="s">
        <v>178</v>
      </c>
      <c r="B19" s="122"/>
      <c r="C19" s="122"/>
      <c r="D19" s="122"/>
      <c r="E19" s="122"/>
      <c r="F19" s="122"/>
    </row>
    <row r="20" spans="1:6" ht="27" customHeight="1">
      <c r="A20" s="420" t="s">
        <v>247</v>
      </c>
      <c r="B20" s="421"/>
      <c r="C20" s="421"/>
      <c r="D20" s="421"/>
      <c r="E20" s="421"/>
      <c r="F20" s="421"/>
    </row>
    <row r="21" spans="1:6" ht="16.5" customHeight="1">
      <c r="A21" s="222" t="s">
        <v>248</v>
      </c>
      <c r="B21" s="240"/>
      <c r="C21" s="240"/>
      <c r="D21" s="240"/>
      <c r="E21" s="240"/>
      <c r="F21" s="240"/>
    </row>
    <row r="22" spans="1:6" ht="30.75" customHeight="1">
      <c r="A22" s="420" t="s">
        <v>228</v>
      </c>
      <c r="B22" s="421"/>
      <c r="C22" s="421"/>
      <c r="D22" s="421"/>
      <c r="E22" s="421"/>
      <c r="F22" s="421"/>
    </row>
    <row r="23" spans="1:6" ht="13.5">
      <c r="A23" s="420" t="s">
        <v>249</v>
      </c>
      <c r="B23" s="421"/>
      <c r="C23" s="421"/>
      <c r="D23" s="421"/>
      <c r="E23" s="421"/>
      <c r="F23" s="421"/>
    </row>
    <row r="24" spans="1:6" ht="15.75">
      <c r="A24" s="222" t="s">
        <v>250</v>
      </c>
      <c r="B24" s="225"/>
      <c r="C24" s="225"/>
      <c r="D24" s="225"/>
      <c r="E24" s="225"/>
      <c r="F24" s="225"/>
    </row>
    <row r="25" spans="1:6" ht="13.5">
      <c r="A25" s="420" t="s">
        <v>251</v>
      </c>
      <c r="B25" s="421"/>
      <c r="C25" s="421"/>
      <c r="D25" s="421"/>
      <c r="E25" s="421"/>
      <c r="F25" s="421"/>
    </row>
    <row r="26" spans="1:6" ht="13.5">
      <c r="A26" s="420" t="s">
        <v>252</v>
      </c>
      <c r="B26" s="421"/>
      <c r="C26" s="421"/>
      <c r="D26" s="421"/>
      <c r="E26" s="421"/>
      <c r="F26" s="421"/>
    </row>
    <row r="27" spans="1:6" ht="15.75">
      <c r="A27" s="222" t="s">
        <v>260</v>
      </c>
      <c r="B27" s="225"/>
      <c r="C27" s="225"/>
      <c r="D27" s="225"/>
      <c r="E27" s="225"/>
      <c r="F27" s="225"/>
    </row>
    <row r="28" spans="1:6" ht="15.75">
      <c r="A28" s="222" t="s">
        <v>253</v>
      </c>
      <c r="B28" s="240"/>
      <c r="C28" s="240"/>
      <c r="D28" s="240"/>
      <c r="E28" s="240"/>
      <c r="F28" s="240"/>
    </row>
    <row r="29" spans="1:6" ht="15.75">
      <c r="A29" s="222"/>
      <c r="B29" s="240"/>
      <c r="C29" s="240"/>
      <c r="D29" s="240"/>
      <c r="E29" s="240"/>
      <c r="F29" s="240"/>
    </row>
    <row r="30" spans="1:6" ht="15.75">
      <c r="A30" s="122" t="s">
        <v>225</v>
      </c>
      <c r="B30" s="225"/>
      <c r="C30" s="225"/>
      <c r="D30" s="225"/>
      <c r="E30" s="225"/>
      <c r="F30" s="225"/>
    </row>
    <row r="31" spans="1:6" ht="15.75">
      <c r="A31" s="222" t="s">
        <v>226</v>
      </c>
      <c r="B31" s="225"/>
      <c r="C31" s="225"/>
      <c r="D31" s="225"/>
      <c r="E31" s="225"/>
      <c r="F31" s="225"/>
    </row>
    <row r="32" spans="1:6" ht="15.75">
      <c r="A32" s="222" t="s">
        <v>227</v>
      </c>
      <c r="B32" s="225"/>
      <c r="C32" s="225"/>
      <c r="D32" s="225"/>
      <c r="E32" s="225"/>
      <c r="F32" s="225"/>
    </row>
    <row r="33" ht="15.75">
      <c r="A33" s="124"/>
    </row>
    <row r="34" spans="1:6" ht="28.5" customHeight="1">
      <c r="A34" s="423" t="s">
        <v>254</v>
      </c>
      <c r="B34" s="421"/>
      <c r="C34" s="421"/>
      <c r="D34" s="421"/>
      <c r="E34" s="421"/>
      <c r="F34" s="421"/>
    </row>
    <row r="35" ht="15.75">
      <c r="A35" s="241" t="s">
        <v>255</v>
      </c>
    </row>
    <row r="36" ht="15.75">
      <c r="A36" s="241" t="s">
        <v>256</v>
      </c>
    </row>
    <row r="37" ht="15.75">
      <c r="A37" s="241"/>
    </row>
    <row r="38" spans="1:6" ht="13.5" customHeight="1">
      <c r="A38" s="122" t="s">
        <v>182</v>
      </c>
      <c r="B38" s="122"/>
      <c r="C38" s="122"/>
      <c r="D38" s="122"/>
      <c r="E38" s="122"/>
      <c r="F38" s="122"/>
    </row>
    <row r="39" spans="1:6" ht="13.5">
      <c r="A39" s="420" t="s">
        <v>257</v>
      </c>
      <c r="B39" s="421"/>
      <c r="C39" s="421"/>
      <c r="D39" s="421"/>
      <c r="E39" s="421"/>
      <c r="F39" s="421"/>
    </row>
    <row r="40" ht="15.75">
      <c r="A40" s="124"/>
    </row>
    <row r="41" ht="15.75">
      <c r="A41" s="122" t="s">
        <v>183</v>
      </c>
    </row>
    <row r="42" spans="1:6" ht="30" customHeight="1">
      <c r="A42" s="420" t="s">
        <v>224</v>
      </c>
      <c r="B42" s="421"/>
      <c r="C42" s="421"/>
      <c r="D42" s="421"/>
      <c r="E42" s="421"/>
      <c r="F42" s="421"/>
    </row>
    <row r="43" spans="1:6" ht="17.25" customHeight="1">
      <c r="A43" s="420" t="s">
        <v>232</v>
      </c>
      <c r="B43" s="421"/>
      <c r="C43" s="421"/>
      <c r="D43" s="421"/>
      <c r="E43" s="421"/>
      <c r="F43" s="421"/>
    </row>
    <row r="44" spans="1:6" ht="17.25" customHeight="1">
      <c r="A44" s="420" t="s">
        <v>258</v>
      </c>
      <c r="B44" s="421"/>
      <c r="C44" s="421"/>
      <c r="D44" s="421"/>
      <c r="E44" s="421"/>
      <c r="F44" s="421"/>
    </row>
    <row r="45" spans="1:6" ht="15.75">
      <c r="A45" s="420"/>
      <c r="B45" s="421"/>
      <c r="C45" s="421"/>
      <c r="D45" s="421"/>
      <c r="E45" s="421"/>
      <c r="F45" s="421"/>
    </row>
    <row r="46" spans="1:6" ht="15.75">
      <c r="A46" s="122" t="s">
        <v>222</v>
      </c>
      <c r="B46" s="225"/>
      <c r="C46" s="225"/>
      <c r="D46" s="225"/>
      <c r="E46" s="225"/>
      <c r="F46" s="225"/>
    </row>
    <row r="47" spans="1:6" s="125" customFormat="1" ht="15.75">
      <c r="A47" s="121" t="s">
        <v>223</v>
      </c>
      <c r="B47" s="227"/>
      <c r="C47" s="227"/>
      <c r="D47" s="227"/>
      <c r="E47" s="227"/>
      <c r="F47" s="227"/>
    </row>
    <row r="48" spans="1:6" s="125" customFormat="1" ht="15.75">
      <c r="A48" s="121" t="s">
        <v>233</v>
      </c>
      <c r="B48" s="227"/>
      <c r="C48" s="227"/>
      <c r="D48" s="227"/>
      <c r="E48" s="227"/>
      <c r="F48" s="227"/>
    </row>
    <row r="49" ht="15.75">
      <c r="A49" s="241" t="s">
        <v>259</v>
      </c>
    </row>
    <row r="50" ht="15.75">
      <c r="A50" s="241"/>
    </row>
    <row r="51" spans="1:6" ht="38.25" customHeight="1">
      <c r="A51" s="422" t="s">
        <v>179</v>
      </c>
      <c r="B51" s="422"/>
      <c r="C51" s="422"/>
      <c r="D51" s="422"/>
      <c r="E51" s="422"/>
      <c r="F51" s="422"/>
    </row>
    <row r="52" ht="15.75">
      <c r="A52" s="124"/>
    </row>
    <row r="53" spans="1:6" ht="13.5">
      <c r="A53" s="420" t="s">
        <v>180</v>
      </c>
      <c r="B53" s="421"/>
      <c r="C53" s="421"/>
      <c r="D53" s="421"/>
      <c r="E53" s="421"/>
      <c r="F53" s="421"/>
    </row>
    <row r="54" spans="1:6" ht="13.5">
      <c r="A54" s="420" t="s">
        <v>268</v>
      </c>
      <c r="B54" s="421"/>
      <c r="C54" s="421"/>
      <c r="D54" s="421"/>
      <c r="E54" s="421"/>
      <c r="F54" s="421"/>
    </row>
    <row r="55" ht="15.75">
      <c r="A55" s="121" t="s">
        <v>261</v>
      </c>
    </row>
    <row r="56" ht="15.75">
      <c r="A56" s="121" t="s">
        <v>262</v>
      </c>
    </row>
    <row r="57" ht="15.75">
      <c r="A57" s="121" t="s">
        <v>267</v>
      </c>
    </row>
    <row r="58" ht="15.75">
      <c r="A58" s="121"/>
    </row>
    <row r="59" ht="15.75">
      <c r="A59" s="123" t="s">
        <v>216</v>
      </c>
    </row>
    <row r="60" spans="1:6" ht="13.5">
      <c r="A60" s="420" t="s">
        <v>263</v>
      </c>
      <c r="B60" s="421"/>
      <c r="C60" s="421"/>
      <c r="D60" s="421"/>
      <c r="E60" s="421"/>
      <c r="F60" s="421"/>
    </row>
    <row r="61" ht="15.75">
      <c r="A61" s="121" t="s">
        <v>264</v>
      </c>
    </row>
    <row r="62" ht="15.75">
      <c r="A62" s="121" t="s">
        <v>265</v>
      </c>
    </row>
    <row r="63" spans="1:8" ht="15.75">
      <c r="A63" s="121" t="s">
        <v>230</v>
      </c>
      <c r="H63" s="121"/>
    </row>
    <row r="64" ht="15.75">
      <c r="A64" s="121"/>
    </row>
    <row r="65" spans="1:6" ht="35.25" customHeight="1">
      <c r="A65" s="422" t="s">
        <v>181</v>
      </c>
      <c r="B65" s="422"/>
      <c r="C65" s="422"/>
      <c r="D65" s="422"/>
      <c r="E65" s="422"/>
      <c r="F65" s="422"/>
    </row>
    <row r="66" spans="1:2" ht="15.75">
      <c r="A66" s="123" t="s">
        <v>266</v>
      </c>
      <c r="B66" s="125"/>
    </row>
  </sheetData>
  <sheetProtection/>
  <mergeCells count="24">
    <mergeCell ref="A54:F54"/>
    <mergeCell ref="A8:G8"/>
    <mergeCell ref="A12:F12"/>
    <mergeCell ref="A13:F13"/>
    <mergeCell ref="A9:G9"/>
    <mergeCell ref="A42:F42"/>
    <mergeCell ref="A34:F34"/>
    <mergeCell ref="A44:F44"/>
    <mergeCell ref="A60:F60"/>
    <mergeCell ref="A65:F65"/>
    <mergeCell ref="A4:F4"/>
    <mergeCell ref="A25:F25"/>
    <mergeCell ref="A26:F26"/>
    <mergeCell ref="A39:F39"/>
    <mergeCell ref="A51:F51"/>
    <mergeCell ref="A20:F20"/>
    <mergeCell ref="A22:F22"/>
    <mergeCell ref="A23:F23"/>
    <mergeCell ref="A7:F7"/>
    <mergeCell ref="B11:G11"/>
    <mergeCell ref="A45:F45"/>
    <mergeCell ref="A43:F43"/>
    <mergeCell ref="A14:F14"/>
    <mergeCell ref="A53:F53"/>
  </mergeCells>
  <printOptions/>
  <pageMargins left="0.83" right="0.23" top="0.6" bottom="0.26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Герлиц Денис Валерьевич</dc:creator>
  <cp:keywords/>
  <dc:description/>
  <cp:lastModifiedBy>Попов Андрей Николаевич</cp:lastModifiedBy>
  <cp:lastPrinted>2013-03-12T11:11:45Z</cp:lastPrinted>
  <dcterms:created xsi:type="dcterms:W3CDTF">2007-06-04T05:14:43Z</dcterms:created>
  <dcterms:modified xsi:type="dcterms:W3CDTF">2013-03-18T05:34:03Z</dcterms:modified>
  <cp:category/>
  <cp:version/>
  <cp:contentType/>
  <cp:contentStatus/>
</cp:coreProperties>
</file>